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stoque" sheetId="1" state="visible" r:id="rId1"/>
    <sheet xmlns:r="http://schemas.openxmlformats.org/officeDocument/2006/relationships" name="Movimentações" sheetId="2" state="visible" r:id="rId2"/>
    <sheet xmlns:r="http://schemas.openxmlformats.org/officeDocument/2006/relationships" name="Resumo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#.##0"/>
    <numFmt numFmtId="165" formatCode="R$ #.##0,00"/>
    <numFmt numFmtId="166" formatCode="yyyy-mm-dd"/>
    <numFmt numFmtId="167" formatCode="DD/MM/AAAA"/>
  </numFmts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2" borderId="1" applyAlignment="1" pivotButton="0" quotePrefix="0" xfId="0">
      <alignment horizontal="center" vertical="center" wrapText="1"/>
    </xf>
    <xf numFmtId="0" fontId="2" fillId="3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center" vertical="center"/>
    </xf>
    <xf numFmtId="164" fontId="2" fillId="3" borderId="1" applyAlignment="1" pivotButton="0" quotePrefix="0" xfId="0">
      <alignment horizontal="center" vertical="center"/>
    </xf>
    <xf numFmtId="165" fontId="2" fillId="4" borderId="1" applyAlignment="1" pivotButton="0" quotePrefix="0" xfId="0">
      <alignment horizontal="center" vertical="center"/>
    </xf>
    <xf numFmtId="165" fontId="2" fillId="3" borderId="1" applyAlignment="1" pivotButton="0" quotePrefix="0" xfId="0">
      <alignment horizontal="center" vertical="center"/>
    </xf>
    <xf numFmtId="167" fontId="2" fillId="4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center" vertical="center"/>
    </xf>
    <xf numFmtId="0" fontId="2" fillId="5" borderId="1" applyAlignment="1" pivotButton="0" quotePrefix="0" xfId="0">
      <alignment horizontal="left" vertical="center"/>
    </xf>
    <xf numFmtId="164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center" vertical="center"/>
    </xf>
    <xf numFmtId="0" fontId="4" fillId="6" borderId="1" applyAlignment="1" pivotButton="0" quotePrefix="0" xfId="0">
      <alignment horizontal="center" vertical="center"/>
    </xf>
    <xf numFmtId="164" fontId="3" fillId="6" borderId="1" applyAlignment="1" pivotButton="0" quotePrefix="0" xfId="0">
      <alignment horizontal="center" vertical="center"/>
    </xf>
    <xf numFmtId="165" fontId="3" fillId="6" borderId="1" applyAlignment="1" pivotButton="0" quotePrefix="0" xfId="0">
      <alignment horizontal="center" vertical="center"/>
    </xf>
    <xf numFmtId="0" fontId="3" fillId="6" borderId="1" applyAlignment="1" pivotButton="0" quotePrefix="0" xfId="0">
      <alignment horizontal="center" vertical="center"/>
    </xf>
    <xf numFmtId="167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left" vertical="center"/>
    </xf>
    <xf numFmtId="164" fontId="2" fillId="4" borderId="1" applyAlignment="1" pivotButton="0" quotePrefix="0" xfId="0">
      <alignment horizontal="right" vertical="center"/>
    </xf>
    <xf numFmtId="165" fontId="2" fillId="4" borderId="1" applyAlignment="1" pivotButton="0" quotePrefix="0" xfId="0">
      <alignment horizontal="right" vertical="center"/>
    </xf>
    <xf numFmtId="165" fontId="2" fillId="3" borderId="1" applyAlignment="1" pivotButton="0" quotePrefix="0" xfId="0">
      <alignment horizontal="right" vertical="center"/>
    </xf>
    <xf numFmtId="167" fontId="2" fillId="5" borderId="1" applyAlignment="1" pivotButton="0" quotePrefix="0" xfId="0">
      <alignment horizontal="center" vertical="center"/>
    </xf>
    <xf numFmtId="165" fontId="2" fillId="5" borderId="1" applyAlignment="1" pivotButton="0" quotePrefix="0" xfId="0">
      <alignment horizontal="right" vertical="center"/>
    </xf>
    <xf numFmtId="165" fontId="4" fillId="6" borderId="1" applyAlignment="1" pivotButton="0" quotePrefix="0" xfId="0">
      <alignment horizontal="right" vertical="center"/>
    </xf>
    <xf numFmtId="0" fontId="1" fillId="2" borderId="1" applyAlignment="1" pivotButton="0" quotePrefix="0" xfId="0">
      <alignment horizontal="center" vertical="center"/>
    </xf>
    <xf numFmtId="0" fontId="0" fillId="0" borderId="1" pivotButton="0" quotePrefix="0" xfId="0"/>
    <xf numFmtId="0" fontId="4" fillId="6" borderId="1" applyAlignment="1" pivotButton="0" quotePrefix="0" xfId="0">
      <alignment horizontal="left" vertical="center"/>
    </xf>
    <xf numFmtId="165" fontId="3" fillId="4" borderId="1" applyAlignment="1" pivotButton="0" quotePrefix="0" xfId="0">
      <alignment horizontal="right" vertical="center"/>
    </xf>
    <xf numFmtId="164" fontId="3" fillId="4" borderId="1" applyAlignment="1" pivotButton="0" quotePrefix="0" xfId="0">
      <alignment horizontal="right" vertical="center"/>
    </xf>
  </cellXfs>
  <cellStyles count="1">
    <cellStyle name="Normal" xfId="0" builtinId="0" hidden="0"/>
  </cellStyles>
  <dxfs count="2">
    <dxf>
      <font>
        <name val="Calibri"/>
        <b val="1"/>
        <color rgb="00FFFFFF"/>
        <sz val="10"/>
      </font>
      <fill>
        <patternFill patternType="solid">
          <fgColor rgb="00DC2626"/>
        </patternFill>
      </fill>
    </dxf>
    <dxf>
      <font>
        <name val="Calibri"/>
        <b val="1"/>
        <color rgb="00FFFFFF"/>
        <sz val="10"/>
      </font>
      <fill>
        <patternFill patternType="solid">
          <fgColor rgb="0022C55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Total por Tipo de Movimentação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'Resumo'!E21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solidFill>
                <a:srgbClr val="0F766E"/>
              </a:solidFill>
              <a:prstDash val="solid"/>
            </a:ln>
          </spPr>
          <cat>
            <numRef>
              <f>'Resumo'!$D$22:$D$25</f>
            </numRef>
          </cat>
          <val>
            <numRef>
              <f>'Resumo'!$E$22:$E$25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Tipo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Top 5 Itens — Valor em Estoque</a:t>
            </a:r>
          </a:p>
        </rich>
      </tx>
    </title>
    <plotArea>
      <barChart>
        <barDir val="bar"/>
        <grouping val="clustered"/>
        <ser>
          <idx val="0"/>
          <order val="0"/>
          <tx>
            <strRef>
              <f>'Resumo'!B14</f>
            </strRef>
          </tx>
          <spPr>
            <a:solidFill xmlns:a="http://schemas.openxmlformats.org/drawingml/2006/main">
              <a:srgbClr val="14B8A6"/>
            </a:solidFill>
            <a:ln xmlns:a="http://schemas.openxmlformats.org/drawingml/2006/main">
              <a:solidFill>
                <a:srgbClr val="14B8A6"/>
              </a:solidFill>
              <a:prstDash val="solid"/>
            </a:ln>
          </spPr>
          <cat>
            <numRef>
              <f>'Resumo'!$A$15:$A$19</f>
            </numRef>
          </cat>
          <val>
            <numRef>
              <f>'Resumo'!$B$15:$B$19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Item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26</row>
      <rowOff>0</rowOff>
    </from>
    <ext cx="6480000" cy="432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0</col>
      <colOff>0</colOff>
      <row>26</row>
      <rowOff>0</rowOff>
    </from>
    <ext cx="6480000" cy="432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selection activeCell="A1" sqref="A1"/>
    </sheetView>
  </sheetViews>
  <sheetFormatPr baseColWidth="8" defaultRowHeight="15"/>
  <cols>
    <col width="10" customWidth="1" min="1" max="1"/>
    <col width="28" customWidth="1" min="2" max="2"/>
    <col width="18" customWidth="1" min="3" max="3"/>
    <col width="10" customWidth="1" min="4" max="4"/>
    <col width="14" customWidth="1" min="5" max="5"/>
    <col width="22" customWidth="1" min="6" max="6"/>
    <col width="10" customWidth="1" min="7" max="7"/>
    <col width="10" customWidth="1" min="8" max="8"/>
    <col width="10" customWidth="1" min="9" max="9"/>
    <col width="10" customWidth="1" min="10" max="10"/>
    <col width="14" customWidth="1" min="11" max="11"/>
    <col width="14" customWidth="1" min="12" max="12"/>
    <col width="16" customWidth="1" min="13" max="13"/>
    <col width="12" customWidth="1" min="14" max="14"/>
    <col width="12" customWidth="1" min="15" max="15"/>
    <col width="18" customWidth="1" min="16" max="16"/>
  </cols>
  <sheetData>
    <row r="1" ht="32" customHeight="1">
      <c r="A1" s="1" t="inlineStr">
        <is>
          <t>Código</t>
        </is>
      </c>
      <c r="B1" s="1" t="inlineStr">
        <is>
          <t>Item</t>
        </is>
      </c>
      <c r="C1" s="1" t="inlineStr">
        <is>
          <t>Categoria</t>
        </is>
      </c>
      <c r="D1" s="1" t="inlineStr">
        <is>
          <t>Unidade</t>
        </is>
      </c>
      <c r="E1" s="1" t="inlineStr">
        <is>
          <t>Marca</t>
        </is>
      </c>
      <c r="F1" s="1" t="inlineStr">
        <is>
          <t>Fornecedor</t>
        </is>
      </c>
      <c r="G1" s="1" t="inlineStr">
        <is>
          <t>Estoque
Inicial</t>
        </is>
      </c>
      <c r="H1" s="1" t="inlineStr">
        <is>
          <t>Entradas</t>
        </is>
      </c>
      <c r="I1" s="1" t="inlineStr">
        <is>
          <t>Saídas</t>
        </is>
      </c>
      <c r="J1" s="1" t="inlineStr">
        <is>
          <t>Saldo
Atual</t>
        </is>
      </c>
      <c r="K1" s="1" t="inlineStr">
        <is>
          <t>Custo
Unitário</t>
        </is>
      </c>
      <c r="L1" s="1" t="inlineStr">
        <is>
          <t>Preço de
Venda</t>
        </is>
      </c>
      <c r="M1" s="1" t="inlineStr">
        <is>
          <t>Valor em
Estoque</t>
        </is>
      </c>
      <c r="N1" s="1" t="inlineStr">
        <is>
          <t>Ponto de
Reposição</t>
        </is>
      </c>
      <c r="O1" s="1" t="inlineStr">
        <is>
          <t>Situação</t>
        </is>
      </c>
      <c r="P1" s="1" t="inlineStr">
        <is>
          <t>Última
Atualização</t>
        </is>
      </c>
    </row>
    <row r="2">
      <c r="A2" s="2" t="inlineStr">
        <is>
          <t>HID001</t>
        </is>
      </c>
      <c r="B2" s="3" t="inlineStr">
        <is>
          <t>Tubo PVC soldável 20 mm</t>
        </is>
      </c>
      <c r="C2" s="3" t="inlineStr">
        <is>
          <t>Tubo</t>
        </is>
      </c>
      <c r="D2" s="2" t="inlineStr">
        <is>
          <t>barra</t>
        </is>
      </c>
      <c r="E2" s="3" t="inlineStr">
        <is>
          <t>Tigre</t>
        </is>
      </c>
      <c r="F2" s="3" t="inlineStr">
        <is>
          <t>HidroMax - Campinas/SP</t>
        </is>
      </c>
      <c r="G2" s="4" t="n">
        <v>50</v>
      </c>
      <c r="H2" s="4" t="n">
        <v>30</v>
      </c>
      <c r="I2" s="4" t="n">
        <v>20</v>
      </c>
      <c r="J2" s="5">
        <f>IFERROR(G2+H2-I2,0)</f>
        <v/>
      </c>
      <c r="K2" s="6" t="n">
        <v>4.5</v>
      </c>
      <c r="L2" s="6" t="n">
        <v>9.9</v>
      </c>
      <c r="M2" s="7">
        <f>IFERROR(J2*K2,0)</f>
        <v/>
      </c>
      <c r="N2" s="4" t="n">
        <v>15</v>
      </c>
      <c r="O2" s="2">
        <f>IFERROR(IF(J2&lt;=N2,"Repor","OK"),"")</f>
        <v/>
      </c>
      <c r="P2" s="8" t="n">
        <v>46213</v>
      </c>
    </row>
    <row r="3">
      <c r="A3" s="9" t="inlineStr">
        <is>
          <t>HID002</t>
        </is>
      </c>
      <c r="B3" s="10" t="inlineStr">
        <is>
          <t>Tubo PVC soldável 25 mm</t>
        </is>
      </c>
      <c r="C3" s="10" t="inlineStr">
        <is>
          <t>Tubo</t>
        </is>
      </c>
      <c r="D3" s="9" t="inlineStr">
        <is>
          <t>barra</t>
        </is>
      </c>
      <c r="E3" s="10" t="inlineStr">
        <is>
          <t>Tigre</t>
        </is>
      </c>
      <c r="F3" s="10" t="inlineStr">
        <is>
          <t>HidroMax - Campinas/SP</t>
        </is>
      </c>
      <c r="G3" s="4" t="n">
        <v>40</v>
      </c>
      <c r="H3" s="4" t="n">
        <v>20</v>
      </c>
      <c r="I3" s="4" t="n">
        <v>18</v>
      </c>
      <c r="J3" s="11">
        <f>IFERROR(G3+H3-I3,0)</f>
        <v/>
      </c>
      <c r="K3" s="6" t="n">
        <v>6.2</v>
      </c>
      <c r="L3" s="6" t="n">
        <v>13.5</v>
      </c>
      <c r="M3" s="12">
        <f>IFERROR(J3*K3,0)</f>
        <v/>
      </c>
      <c r="N3" s="4" t="n">
        <v>10</v>
      </c>
      <c r="O3" s="9">
        <f>IFERROR(IF(J3&lt;=N3,"Repor","OK"),"")</f>
        <v/>
      </c>
      <c r="P3" s="8" t="n">
        <v>46213</v>
      </c>
    </row>
    <row r="4">
      <c r="A4" s="2" t="inlineStr">
        <is>
          <t>HID003</t>
        </is>
      </c>
      <c r="B4" s="3" t="inlineStr">
        <is>
          <t>Joelho 90° 20 mm</t>
        </is>
      </c>
      <c r="C4" s="3" t="inlineStr">
        <is>
          <t>Conexão</t>
        </is>
      </c>
      <c r="D4" s="2" t="inlineStr">
        <is>
          <t>pç</t>
        </is>
      </c>
      <c r="E4" s="3" t="inlineStr">
        <is>
          <t>Amanco</t>
        </is>
      </c>
      <c r="F4" s="3" t="inlineStr">
        <is>
          <t>ConexPro - Goiânia/GO</t>
        </is>
      </c>
      <c r="G4" s="4" t="n">
        <v>120</v>
      </c>
      <c r="H4" s="4" t="n">
        <v>60</v>
      </c>
      <c r="I4" s="4" t="n">
        <v>55</v>
      </c>
      <c r="J4" s="5">
        <f>IFERROR(G4+H4-I4,0)</f>
        <v/>
      </c>
      <c r="K4" s="6" t="n">
        <v>0.85</v>
      </c>
      <c r="L4" s="6" t="n">
        <v>2.2</v>
      </c>
      <c r="M4" s="7">
        <f>IFERROR(J4*K4,0)</f>
        <v/>
      </c>
      <c r="N4" s="4" t="n">
        <v>30</v>
      </c>
      <c r="O4" s="2">
        <f>IFERROR(IF(J4&lt;=N4,"Repor","OK"),"")</f>
        <v/>
      </c>
      <c r="P4" s="8" t="n">
        <v>46215</v>
      </c>
    </row>
    <row r="5">
      <c r="A5" s="9" t="inlineStr">
        <is>
          <t>HID004</t>
        </is>
      </c>
      <c r="B5" s="10" t="inlineStr">
        <is>
          <t>Joelho 90° 25 mm</t>
        </is>
      </c>
      <c r="C5" s="10" t="inlineStr">
        <is>
          <t>Conexão</t>
        </is>
      </c>
      <c r="D5" s="9" t="inlineStr">
        <is>
          <t>pç</t>
        </is>
      </c>
      <c r="E5" s="10" t="inlineStr">
        <is>
          <t>Amanco</t>
        </is>
      </c>
      <c r="F5" s="10" t="inlineStr">
        <is>
          <t>ConexPro - Goiânia/GO</t>
        </is>
      </c>
      <c r="G5" s="4" t="n">
        <v>80</v>
      </c>
      <c r="H5" s="4" t="n">
        <v>40</v>
      </c>
      <c r="I5" s="4" t="n">
        <v>38</v>
      </c>
      <c r="J5" s="11">
        <f>IFERROR(G5+H5-I5,0)</f>
        <v/>
      </c>
      <c r="K5" s="6" t="n">
        <v>1.1</v>
      </c>
      <c r="L5" s="6" t="n">
        <v>2.8</v>
      </c>
      <c r="M5" s="12">
        <f>IFERROR(J5*K5,0)</f>
        <v/>
      </c>
      <c r="N5" s="4" t="n">
        <v>20</v>
      </c>
      <c r="O5" s="9">
        <f>IFERROR(IF(J5&lt;=N5,"Repor","OK"),"")</f>
        <v/>
      </c>
      <c r="P5" s="8" t="n">
        <v>46215</v>
      </c>
    </row>
    <row r="6">
      <c r="A6" s="2" t="inlineStr">
        <is>
          <t>HID005</t>
        </is>
      </c>
      <c r="B6" s="3" t="inlineStr">
        <is>
          <t>Luva de redução 25x20 mm</t>
        </is>
      </c>
      <c r="C6" s="3" t="inlineStr">
        <is>
          <t>Conexão</t>
        </is>
      </c>
      <c r="D6" s="2" t="inlineStr">
        <is>
          <t>pç</t>
        </is>
      </c>
      <c r="E6" s="3" t="inlineStr">
        <is>
          <t>Krona</t>
        </is>
      </c>
      <c r="F6" s="3" t="inlineStr">
        <is>
          <t>TuboCentro - Contagem/MG</t>
        </is>
      </c>
      <c r="G6" s="4" t="n">
        <v>60</v>
      </c>
      <c r="H6" s="4" t="n">
        <v>20</v>
      </c>
      <c r="I6" s="4" t="n">
        <v>22</v>
      </c>
      <c r="J6" s="5">
        <f>IFERROR(G6+H6-I6,0)</f>
        <v/>
      </c>
      <c r="K6" s="6" t="n">
        <v>1.3</v>
      </c>
      <c r="L6" s="6" t="n">
        <v>3.5</v>
      </c>
      <c r="M6" s="7">
        <f>IFERROR(J6*K6,0)</f>
        <v/>
      </c>
      <c r="N6" s="4" t="n">
        <v>15</v>
      </c>
      <c r="O6" s="2">
        <f>IFERROR(IF(J6&lt;=N6,"Repor","OK"),"")</f>
        <v/>
      </c>
      <c r="P6" s="8" t="n">
        <v>46211</v>
      </c>
    </row>
    <row r="7">
      <c r="A7" s="9" t="inlineStr">
        <is>
          <t>HID006</t>
        </is>
      </c>
      <c r="B7" s="10" t="inlineStr">
        <is>
          <t>Registro esfera 20 mm</t>
        </is>
      </c>
      <c r="C7" s="10" t="inlineStr">
        <is>
          <t>Registro</t>
        </is>
      </c>
      <c r="D7" s="9" t="inlineStr">
        <is>
          <t>pç</t>
        </is>
      </c>
      <c r="E7" s="10" t="inlineStr">
        <is>
          <t>Docol</t>
        </is>
      </c>
      <c r="F7" s="10" t="inlineStr">
        <is>
          <t>MetalFit - Curitiba/PR</t>
        </is>
      </c>
      <c r="G7" s="4" t="n">
        <v>30</v>
      </c>
      <c r="H7" s="4" t="n">
        <v>10</v>
      </c>
      <c r="I7" s="4" t="n">
        <v>8</v>
      </c>
      <c r="J7" s="11">
        <f>IFERROR(G7+H7-I7,0)</f>
        <v/>
      </c>
      <c r="K7" s="6" t="n">
        <v>12</v>
      </c>
      <c r="L7" s="6" t="n">
        <v>28</v>
      </c>
      <c r="M7" s="12">
        <f>IFERROR(J7*K7,0)</f>
        <v/>
      </c>
      <c r="N7" s="4" t="n">
        <v>8</v>
      </c>
      <c r="O7" s="9">
        <f>IFERROR(IF(J7&lt;=N7,"Repor","OK"),"")</f>
        <v/>
      </c>
      <c r="P7" s="8" t="n">
        <v>46218</v>
      </c>
    </row>
    <row r="8">
      <c r="A8" s="2" t="inlineStr">
        <is>
          <t>HID007</t>
        </is>
      </c>
      <c r="B8" s="3" t="inlineStr">
        <is>
          <t>Válvula de retenção 25 mm</t>
        </is>
      </c>
      <c r="C8" s="3" t="inlineStr">
        <is>
          <t>Válvula</t>
        </is>
      </c>
      <c r="D8" s="2" t="inlineStr">
        <is>
          <t>pç</t>
        </is>
      </c>
      <c r="E8" s="3" t="inlineStr">
        <is>
          <t>Blukit</t>
        </is>
      </c>
      <c r="F8" s="3" t="inlineStr">
        <is>
          <t>HidroSul - Curitiba/PR</t>
        </is>
      </c>
      <c r="G8" s="4" t="n">
        <v>20</v>
      </c>
      <c r="H8" s="4" t="n">
        <v>5</v>
      </c>
      <c r="I8" s="4" t="n">
        <v>7</v>
      </c>
      <c r="J8" s="5">
        <f>IFERROR(G8+H8-I8,0)</f>
        <v/>
      </c>
      <c r="K8" s="6" t="n">
        <v>18.5</v>
      </c>
      <c r="L8" s="6" t="n">
        <v>42</v>
      </c>
      <c r="M8" s="7">
        <f>IFERROR(J8*K8,0)</f>
        <v/>
      </c>
      <c r="N8" s="4" t="n">
        <v>5</v>
      </c>
      <c r="O8" s="2">
        <f>IFERROR(IF(J8&lt;=N8,"Repor","OK"),"")</f>
        <v/>
      </c>
      <c r="P8" s="8" t="n">
        <v>46217</v>
      </c>
    </row>
    <row r="9">
      <c r="A9" s="9" t="inlineStr">
        <is>
          <t>HID008</t>
        </is>
      </c>
      <c r="B9" s="10" t="inlineStr">
        <is>
          <t>Fita veda rosca 18 mm x 50 m</t>
        </is>
      </c>
      <c r="C9" s="10" t="inlineStr">
        <is>
          <t>Vedação</t>
        </is>
      </c>
      <c r="D9" s="9" t="inlineStr">
        <is>
          <t>rolo</t>
        </is>
      </c>
      <c r="E9" s="10" t="inlineStr">
        <is>
          <t>Vonder</t>
        </is>
      </c>
      <c r="F9" s="10" t="inlineStr">
        <is>
          <t>SupriHid - Ribeirão Preto/SP</t>
        </is>
      </c>
      <c r="G9" s="4" t="n">
        <v>100</v>
      </c>
      <c r="H9" s="4" t="n">
        <v>50</v>
      </c>
      <c r="I9" s="4" t="n">
        <v>80</v>
      </c>
      <c r="J9" s="11">
        <f>IFERROR(G9+H9-I9,0)</f>
        <v/>
      </c>
      <c r="K9" s="6" t="n">
        <v>3.2</v>
      </c>
      <c r="L9" s="6" t="n">
        <v>7.5</v>
      </c>
      <c r="M9" s="12">
        <f>IFERROR(J9*K9,0)</f>
        <v/>
      </c>
      <c r="N9" s="4" t="n">
        <v>20</v>
      </c>
      <c r="O9" s="9">
        <f>IFERROR(IF(J9&lt;=N9,"Repor","OK"),"")</f>
        <v/>
      </c>
      <c r="P9" s="8" t="n">
        <v>46208</v>
      </c>
    </row>
    <row r="10">
      <c r="A10" s="2" t="inlineStr">
        <is>
          <t>HID009</t>
        </is>
      </c>
      <c r="B10" s="3" t="inlineStr">
        <is>
          <t>Caixa d'água 500 L</t>
        </is>
      </c>
      <c r="C10" s="3" t="inlineStr">
        <is>
          <t>Reservatório</t>
        </is>
      </c>
      <c r="D10" s="2" t="inlineStr">
        <is>
          <t>pç</t>
        </is>
      </c>
      <c r="E10" s="3" t="inlineStr">
        <is>
          <t>Fortlev</t>
        </is>
      </c>
      <c r="F10" s="3" t="inlineStr">
        <is>
          <t>HidroMax - Campinas/SP</t>
        </is>
      </c>
      <c r="G10" s="4" t="n">
        <v>8</v>
      </c>
      <c r="H10" s="4" t="n">
        <v>4</v>
      </c>
      <c r="I10" s="4" t="n">
        <v>3</v>
      </c>
      <c r="J10" s="5">
        <f>IFERROR(G10+H10-I10,0)</f>
        <v/>
      </c>
      <c r="K10" s="6" t="n">
        <v>320</v>
      </c>
      <c r="L10" s="6" t="n">
        <v>680</v>
      </c>
      <c r="M10" s="7">
        <f>IFERROR(J10*K10,0)</f>
        <v/>
      </c>
      <c r="N10" s="4" t="n">
        <v>2</v>
      </c>
      <c r="O10" s="2">
        <f>IFERROR(IF(J10&lt;=N10,"Repor","OK"),"")</f>
        <v/>
      </c>
      <c r="P10" s="8" t="n">
        <v>46221</v>
      </c>
    </row>
    <row r="11">
      <c r="A11" s="9" t="inlineStr">
        <is>
          <t>HID010</t>
        </is>
      </c>
      <c r="B11" s="10" t="inlineStr">
        <is>
          <t>Torneira plástica 1/2"</t>
        </is>
      </c>
      <c r="C11" s="10" t="inlineStr">
        <is>
          <t>Torneira</t>
        </is>
      </c>
      <c r="D11" s="9" t="inlineStr">
        <is>
          <t>pç</t>
        </is>
      </c>
      <c r="E11" s="10" t="inlineStr">
        <is>
          <t>Fabrimar</t>
        </is>
      </c>
      <c r="F11" s="10" t="inlineStr">
        <is>
          <t>TuboCentro - Contagem/MG</t>
        </is>
      </c>
      <c r="G11" s="4" t="n">
        <v>45</v>
      </c>
      <c r="H11" s="4" t="n">
        <v>20</v>
      </c>
      <c r="I11" s="4" t="n">
        <v>25</v>
      </c>
      <c r="J11" s="11">
        <f>IFERROR(G11+H11-I11,0)</f>
        <v/>
      </c>
      <c r="K11" s="6" t="n">
        <v>8.5</v>
      </c>
      <c r="L11" s="6" t="n">
        <v>19.9</v>
      </c>
      <c r="M11" s="12">
        <f>IFERROR(J11*K11,0)</f>
        <v/>
      </c>
      <c r="N11" s="4" t="n">
        <v>10</v>
      </c>
      <c r="O11" s="9">
        <f>IFERROR(IF(J11&lt;=N11,"Repor","OK"),"")</f>
        <v/>
      </c>
      <c r="P11" s="8" t="n">
        <v>46219</v>
      </c>
    </row>
    <row r="13">
      <c r="A13" s="13" t="inlineStr">
        <is>
          <t>TOTAIS</t>
        </is>
      </c>
      <c r="G13" s="14">
        <f>SUM(G2:G11)</f>
        <v/>
      </c>
      <c r="H13" s="14">
        <f>SUM(H2:H11)</f>
        <v/>
      </c>
      <c r="I13" s="14">
        <f>SUM(I2:I11)</f>
        <v/>
      </c>
      <c r="J13" s="14">
        <f>SUM(J2:J11)</f>
        <v/>
      </c>
      <c r="M13" s="15">
        <f>SUM(M2:M11)</f>
        <v/>
      </c>
      <c r="N13" s="13" t="inlineStr">
        <is>
          <t>Repor:</t>
        </is>
      </c>
      <c r="O13" s="16">
        <f>COUNTIF(O2:O11,"Repor")</f>
        <v/>
      </c>
    </row>
  </sheetData>
  <conditionalFormatting sqref="O2:O11">
    <cfRule type="expression" priority="1" dxfId="0" stopIfTrue="1">
      <formula>O2="Repor"</formula>
    </cfRule>
    <cfRule type="expression" priority="2" dxfId="1" stopIfTrue="1">
      <formula>O2="OK"</formula>
    </cfRule>
  </conditionalFormatting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3"/>
  <sheetViews>
    <sheetView workbookViewId="0">
      <selection activeCell="A1" sqref="A1"/>
    </sheetView>
  </sheetViews>
  <sheetFormatPr baseColWidth="8" defaultRowHeight="15"/>
  <cols>
    <col width="14" customWidth="1" min="1" max="1"/>
    <col width="16" customWidth="1" min="2" max="2"/>
    <col width="13" customWidth="1" min="3" max="3"/>
    <col width="28" customWidth="1" min="4" max="4"/>
    <col width="28" customWidth="1" min="5" max="5"/>
    <col width="22" customWidth="1" min="6" max="6"/>
    <col width="14" customWidth="1" min="7" max="7"/>
    <col width="12" customWidth="1" min="8" max="8"/>
    <col width="14" customWidth="1" min="9" max="9"/>
    <col width="14" customWidth="1" min="10" max="10"/>
    <col width="18" customWidth="1" min="11" max="11"/>
    <col width="14" customWidth="1" min="12" max="12"/>
    <col width="32" customWidth="1" min="13" max="13"/>
  </cols>
  <sheetData>
    <row r="1" ht="32" customHeight="1">
      <c r="A1" s="1" t="inlineStr">
        <is>
          <t>Data</t>
        </is>
      </c>
      <c r="B1" s="1" t="inlineStr">
        <is>
          <t>Tipo</t>
        </is>
      </c>
      <c r="C1" s="1" t="inlineStr">
        <is>
          <t>Código
do Item</t>
        </is>
      </c>
      <c r="D1" s="1" t="inlineStr">
        <is>
          <t>Item</t>
        </is>
      </c>
      <c r="E1" s="1" t="inlineStr">
        <is>
          <t>Cliente/Fornecedor</t>
        </is>
      </c>
      <c r="F1" s="1" t="inlineStr">
        <is>
          <t>Cidade</t>
        </is>
      </c>
      <c r="G1" s="1" t="inlineStr">
        <is>
          <t>Documento</t>
        </is>
      </c>
      <c r="H1" s="1" t="inlineStr">
        <is>
          <t>Quantidade</t>
        </is>
      </c>
      <c r="I1" s="1" t="inlineStr">
        <is>
          <t>Valor
Unitário</t>
        </is>
      </c>
      <c r="J1" s="1" t="inlineStr">
        <is>
          <t>Total</t>
        </is>
      </c>
      <c r="K1" s="1" t="inlineStr">
        <is>
          <t>Forma de
Pagamento</t>
        </is>
      </c>
      <c r="L1" s="1" t="inlineStr">
        <is>
          <t>Status</t>
        </is>
      </c>
      <c r="M1" s="1" t="inlineStr">
        <is>
          <t>Observação</t>
        </is>
      </c>
    </row>
    <row r="2">
      <c r="A2" s="17" t="n">
        <v>46178</v>
      </c>
      <c r="B2" s="18" t="inlineStr">
        <is>
          <t>Compra</t>
        </is>
      </c>
      <c r="C2" s="2" t="inlineStr">
        <is>
          <t>HID001</t>
        </is>
      </c>
      <c r="D2" s="3">
        <f>IFERROR(VLOOKUP(C2,Estoque!A:P,2,FALSE),"")</f>
        <v/>
      </c>
      <c r="E2" s="19" t="inlineStr">
        <is>
          <t>HidroMax Distribuidora</t>
        </is>
      </c>
      <c r="F2" s="19" t="inlineStr">
        <is>
          <t>Campinas/SP</t>
        </is>
      </c>
      <c r="G2" s="2" t="inlineStr">
        <is>
          <t>NF-001234</t>
        </is>
      </c>
      <c r="H2" s="20" t="n">
        <v>30</v>
      </c>
      <c r="I2" s="21" t="n">
        <v>4.5</v>
      </c>
      <c r="J2" s="22">
        <f>IFERROR(H2*I2,0)</f>
        <v/>
      </c>
      <c r="K2" s="18" t="inlineStr">
        <is>
          <t>Boleto</t>
        </is>
      </c>
      <c r="L2" s="18">
        <f>IFERROR(IF(L2="Pago","Concluído","Pendente"),"")</f>
        <v/>
      </c>
      <c r="M2" s="19" t="inlineStr">
        <is>
          <t>Reposição de estoque</t>
        </is>
      </c>
    </row>
    <row r="3">
      <c r="A3" s="23" t="n">
        <v>46183</v>
      </c>
      <c r="B3" s="18" t="inlineStr">
        <is>
          <t>Venda</t>
        </is>
      </c>
      <c r="C3" s="9" t="inlineStr">
        <is>
          <t>HID009</t>
        </is>
      </c>
      <c r="D3" s="10">
        <f>IFERROR(VLOOKUP(C3,Estoque!A:P,2,FALSE),"")</f>
        <v/>
      </c>
      <c r="E3" s="19" t="inlineStr">
        <is>
          <t>José Carlos Pereira</t>
        </is>
      </c>
      <c r="F3" s="19" t="inlineStr">
        <is>
          <t>Osasco/SP</t>
        </is>
      </c>
      <c r="G3" s="9" t="inlineStr">
        <is>
          <t>NF-002001</t>
        </is>
      </c>
      <c r="H3" s="20" t="n">
        <v>2</v>
      </c>
      <c r="I3" s="21" t="n">
        <v>680</v>
      </c>
      <c r="J3" s="24">
        <f>IFERROR(H3*I3,0)</f>
        <v/>
      </c>
      <c r="K3" s="18" t="inlineStr">
        <is>
          <t>PIX</t>
        </is>
      </c>
      <c r="L3" s="18">
        <f>IFERROR(IF(L3="Pago","Concluído","Pendente"),"")</f>
        <v/>
      </c>
      <c r="M3" s="19" t="inlineStr">
        <is>
          <t>Obra residencial</t>
        </is>
      </c>
    </row>
    <row r="4">
      <c r="A4" s="17" t="n">
        <v>46188</v>
      </c>
      <c r="B4" s="18" t="inlineStr">
        <is>
          <t>Compra</t>
        </is>
      </c>
      <c r="C4" s="2" t="inlineStr">
        <is>
          <t>HID003</t>
        </is>
      </c>
      <c r="D4" s="3">
        <f>IFERROR(VLOOKUP(C4,Estoque!A:P,2,FALSE),"")</f>
        <v/>
      </c>
      <c r="E4" s="19" t="inlineStr">
        <is>
          <t>ConexPro Atacado</t>
        </is>
      </c>
      <c r="F4" s="19" t="inlineStr">
        <is>
          <t>Goiânia/GO</t>
        </is>
      </c>
      <c r="G4" s="2" t="inlineStr">
        <is>
          <t>NF-001235</t>
        </is>
      </c>
      <c r="H4" s="20" t="n">
        <v>60</v>
      </c>
      <c r="I4" s="21" t="n">
        <v>0.85</v>
      </c>
      <c r="J4" s="22">
        <f>IFERROR(H4*I4,0)</f>
        <v/>
      </c>
      <c r="K4" s="18" t="inlineStr">
        <is>
          <t>Boleto</t>
        </is>
      </c>
      <c r="L4" s="18">
        <f>IFERROR(IF(L4="Pago","Concluído","Pendente"),"")</f>
        <v/>
      </c>
      <c r="M4" s="19" t="inlineStr">
        <is>
          <t>Reposição joelhos</t>
        </is>
      </c>
    </row>
    <row r="5">
      <c r="A5" s="23" t="n">
        <v>46193</v>
      </c>
      <c r="B5" s="18" t="inlineStr">
        <is>
          <t>Venda</t>
        </is>
      </c>
      <c r="C5" s="9" t="inlineStr">
        <is>
          <t>HID006</t>
        </is>
      </c>
      <c r="D5" s="10">
        <f>IFERROR(VLOOKUP(C5,Estoque!A:P,2,FALSE),"")</f>
        <v/>
      </c>
      <c r="E5" s="19" t="inlineStr">
        <is>
          <t>Maria Fernanda Lima</t>
        </is>
      </c>
      <c r="F5" s="19" t="inlineStr">
        <is>
          <t>Londrina/PR</t>
        </is>
      </c>
      <c r="G5" s="9" t="inlineStr">
        <is>
          <t>NF-002002</t>
        </is>
      </c>
      <c r="H5" s="20" t="n">
        <v>5</v>
      </c>
      <c r="I5" s="21" t="n">
        <v>28</v>
      </c>
      <c r="J5" s="24">
        <f>IFERROR(H5*I5,0)</f>
        <v/>
      </c>
      <c r="K5" s="18" t="inlineStr">
        <is>
          <t>Cartão</t>
        </is>
      </c>
      <c r="L5" s="18">
        <f>IFERROR(IF(L5="Pago","Concluído","Pendente"),"")</f>
        <v/>
      </c>
      <c r="M5" s="19" t="inlineStr">
        <is>
          <t>Instalação hidráulica</t>
        </is>
      </c>
    </row>
    <row r="6">
      <c r="A6" s="17" t="n">
        <v>46201</v>
      </c>
      <c r="B6" s="18" t="inlineStr">
        <is>
          <t>Venda</t>
        </is>
      </c>
      <c r="C6" s="2" t="inlineStr">
        <is>
          <t>HID008</t>
        </is>
      </c>
      <c r="D6" s="3">
        <f>IFERROR(VLOOKUP(C6,Estoque!A:P,2,FALSE),"")</f>
        <v/>
      </c>
      <c r="E6" s="19" t="inlineStr">
        <is>
          <t>Construtora Joinville</t>
        </is>
      </c>
      <c r="F6" s="19" t="inlineStr">
        <is>
          <t>Joinville/SC</t>
        </is>
      </c>
      <c r="G6" s="2" t="inlineStr">
        <is>
          <t>NF-002003</t>
        </is>
      </c>
      <c r="H6" s="20" t="n">
        <v>20</v>
      </c>
      <c r="I6" s="21" t="n">
        <v>7.5</v>
      </c>
      <c r="J6" s="22">
        <f>IFERROR(H6*I6,0)</f>
        <v/>
      </c>
      <c r="K6" s="18" t="inlineStr">
        <is>
          <t>PIX</t>
        </is>
      </c>
      <c r="L6" s="18">
        <f>IFERROR(IF(L6="Pago","Concluído","Pendente"),"")</f>
        <v/>
      </c>
      <c r="M6" s="19" t="inlineStr">
        <is>
          <t>Obra comercial</t>
        </is>
      </c>
    </row>
    <row r="7">
      <c r="A7" s="23" t="n">
        <v>46205</v>
      </c>
      <c r="B7" s="18" t="inlineStr">
        <is>
          <t>Compra</t>
        </is>
      </c>
      <c r="C7" s="9" t="inlineStr">
        <is>
          <t>HID008</t>
        </is>
      </c>
      <c r="D7" s="10">
        <f>IFERROR(VLOOKUP(C7,Estoque!A:P,2,FALSE),"")</f>
        <v/>
      </c>
      <c r="E7" s="19" t="inlineStr">
        <is>
          <t>SupriHid Distribuidora</t>
        </is>
      </c>
      <c r="F7" s="19" t="inlineStr">
        <is>
          <t>Ribeirão Preto/SP</t>
        </is>
      </c>
      <c r="G7" s="9" t="inlineStr">
        <is>
          <t>NF-001236</t>
        </is>
      </c>
      <c r="H7" s="20" t="n">
        <v>50</v>
      </c>
      <c r="I7" s="21" t="n">
        <v>3.2</v>
      </c>
      <c r="J7" s="24">
        <f>IFERROR(H7*I7,0)</f>
        <v/>
      </c>
      <c r="K7" s="18" t="inlineStr">
        <is>
          <t>PIX</t>
        </is>
      </c>
      <c r="L7" s="18">
        <f>IFERROR(IF(L7="Pago","Concluído","Pendente"),"")</f>
        <v/>
      </c>
      <c r="M7" s="19" t="inlineStr">
        <is>
          <t>Fita veda rosca</t>
        </is>
      </c>
    </row>
    <row r="8">
      <c r="A8" s="17" t="n">
        <v>46211</v>
      </c>
      <c r="B8" s="18" t="inlineStr">
        <is>
          <t>Venda</t>
        </is>
      </c>
      <c r="C8" s="2" t="inlineStr">
        <is>
          <t>HID003</t>
        </is>
      </c>
      <c r="D8" s="3">
        <f>IFERROR(VLOOKUP(C8,Estoque!A:P,2,FALSE),"")</f>
        <v/>
      </c>
      <c r="E8" s="19" t="inlineStr">
        <is>
          <t>Pedro Henrique Souza</t>
        </is>
      </c>
      <c r="F8" s="19" t="inlineStr">
        <is>
          <t>Uberlândia/MG</t>
        </is>
      </c>
      <c r="G8" s="2" t="inlineStr">
        <is>
          <t>NF-002004</t>
        </is>
      </c>
      <c r="H8" s="20" t="n">
        <v>30</v>
      </c>
      <c r="I8" s="21" t="n">
        <v>2.2</v>
      </c>
      <c r="J8" s="22">
        <f>IFERROR(H8*I8,0)</f>
        <v/>
      </c>
      <c r="K8" s="18" t="inlineStr">
        <is>
          <t>Cartão</t>
        </is>
      </c>
      <c r="L8" s="18">
        <f>IFERROR(IF(L8="Pago","Concluído","Pendente"),"")</f>
        <v/>
      </c>
      <c r="M8" s="19" t="inlineStr">
        <is>
          <t>Reforma banheiro</t>
        </is>
      </c>
    </row>
    <row r="9">
      <c r="A9" s="23" t="n">
        <v>46215</v>
      </c>
      <c r="B9" s="18" t="inlineStr">
        <is>
          <t>Consumo interno</t>
        </is>
      </c>
      <c r="C9" s="9" t="inlineStr">
        <is>
          <t>HID005</t>
        </is>
      </c>
      <c r="D9" s="10">
        <f>IFERROR(VLOOKUP(C9,Estoque!A:P,2,FALSE),"")</f>
        <v/>
      </c>
      <c r="E9" s="19" t="inlineStr">
        <is>
          <t>Uso próprio oficina</t>
        </is>
      </c>
      <c r="F9" s="19" t="inlineStr">
        <is>
          <t>Salvador/BA</t>
        </is>
      </c>
      <c r="G9" s="9" t="inlineStr">
        <is>
          <t>REQ-0045</t>
        </is>
      </c>
      <c r="H9" s="20" t="n">
        <v>5</v>
      </c>
      <c r="I9" s="21" t="n">
        <v>1.3</v>
      </c>
      <c r="J9" s="24">
        <f>IFERROR(H9*I9,0)</f>
        <v/>
      </c>
      <c r="K9" s="18" t="inlineStr">
        <is>
          <t>—</t>
        </is>
      </c>
      <c r="L9" s="18">
        <f>IFERROR(IF(L9="Pago","Concluído","Pendente"),"")</f>
        <v/>
      </c>
      <c r="M9" s="19" t="inlineStr">
        <is>
          <t>Reparo interno</t>
        </is>
      </c>
    </row>
    <row r="10">
      <c r="A10" s="17" t="n">
        <v>46218</v>
      </c>
      <c r="B10" s="18" t="inlineStr">
        <is>
          <t>Venda</t>
        </is>
      </c>
      <c r="C10" s="2" t="inlineStr">
        <is>
          <t>HID007</t>
        </is>
      </c>
      <c r="D10" s="3">
        <f>IFERROR(VLOOKUP(C10,Estoque!A:P,2,FALSE),"")</f>
        <v/>
      </c>
      <c r="E10" s="19" t="inlineStr">
        <is>
          <t>Ana Paula Rodrigues</t>
        </is>
      </c>
      <c r="F10" s="19" t="inlineStr">
        <is>
          <t>Osasco/SP</t>
        </is>
      </c>
      <c r="G10" s="2" t="inlineStr">
        <is>
          <t>NF-002005</t>
        </is>
      </c>
      <c r="H10" s="20" t="n">
        <v>3</v>
      </c>
      <c r="I10" s="21" t="n">
        <v>42</v>
      </c>
      <c r="J10" s="22">
        <f>IFERROR(H10*I10,0)</f>
        <v/>
      </c>
      <c r="K10" s="18" t="inlineStr">
        <is>
          <t>PIX</t>
        </is>
      </c>
      <c r="L10" s="18">
        <f>IFERROR(IF(L10="Pago","Concluído","Pendente"),"")</f>
        <v/>
      </c>
      <c r="M10" s="19" t="inlineStr">
        <is>
          <t>Instalação residencial</t>
        </is>
      </c>
    </row>
    <row r="11">
      <c r="A11" s="23" t="n">
        <v>46221</v>
      </c>
      <c r="B11" s="18" t="inlineStr">
        <is>
          <t>Devolução</t>
        </is>
      </c>
      <c r="C11" s="9" t="inlineStr">
        <is>
          <t>HID004</t>
        </is>
      </c>
      <c r="D11" s="10">
        <f>IFERROR(VLOOKUP(C11,Estoque!A:P,2,FALSE),"")</f>
        <v/>
      </c>
      <c r="E11" s="19" t="inlineStr">
        <is>
          <t>Lucas Martins Obras</t>
        </is>
      </c>
      <c r="F11" s="19" t="inlineStr">
        <is>
          <t>Joinville/SC</t>
        </is>
      </c>
      <c r="G11" s="9" t="inlineStr">
        <is>
          <t>DEV-0010</t>
        </is>
      </c>
      <c r="H11" s="20" t="n">
        <v>4</v>
      </c>
      <c r="I11" s="21" t="n">
        <v>2.8</v>
      </c>
      <c r="J11" s="24">
        <f>IFERROR(H11*I11,0)</f>
        <v/>
      </c>
      <c r="K11" s="18" t="inlineStr">
        <is>
          <t>PIX</t>
        </is>
      </c>
      <c r="L11" s="18">
        <f>IFERROR(IF(L11="Pago","Concluído","Pendente"),"")</f>
        <v/>
      </c>
      <c r="M11" s="19" t="inlineStr">
        <is>
          <t>Devolução por troca</t>
        </is>
      </c>
    </row>
    <row r="13">
      <c r="A13" s="13" t="inlineStr">
        <is>
          <t>TOTAL GERAL</t>
        </is>
      </c>
      <c r="J13" s="25">
        <f>SUM(J2:J11)</f>
        <v/>
      </c>
    </row>
  </sheetData>
  <conditionalFormatting sqref="B2:B11">
    <cfRule type="expression" priority="1" dxfId="1" stopIfTrue="1">
      <formula>B2="Venda"</formula>
    </cfRule>
  </conditionalFormatting>
  <conditionalFormatting sqref="L2:L11">
    <cfRule type="expression" priority="2" dxfId="0" stopIfTrue="1">
      <formula>L2="Pendente"</formula>
    </cfRule>
  </conditionalFormatting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25"/>
  <sheetViews>
    <sheetView workbookViewId="0">
      <selection activeCell="A1" sqref="A1"/>
    </sheetView>
  </sheetViews>
  <sheetFormatPr baseColWidth="8" defaultRowHeight="15"/>
  <cols>
    <col width="34" customWidth="1" min="1" max="1"/>
    <col width="20" customWidth="1" min="2" max="2"/>
    <col width="4" customWidth="1" min="3" max="3"/>
    <col width="30" customWidth="1" min="4" max="4"/>
    <col width="20" customWidth="1" min="5" max="5"/>
  </cols>
  <sheetData>
    <row r="1" ht="28" customHeight="1">
      <c r="A1" s="26" t="inlineStr">
        <is>
          <t>📊 RESUMO GERENCIAL — MATERIAIS HIDRÁULICOS</t>
        </is>
      </c>
      <c r="B1" s="27" t="n"/>
    </row>
    <row r="2" ht="8" customHeight="1"/>
    <row r="3">
      <c r="A3" s="28" t="inlineStr">
        <is>
          <t>Total de Compras (R$)</t>
        </is>
      </c>
      <c r="B3" s="29">
        <f>SUMIF(Movimentações!B:B,"Compra",Movimentações!J:J)</f>
        <v/>
      </c>
    </row>
    <row r="4">
      <c r="A4" s="28" t="inlineStr">
        <is>
          <t>Total de Vendas (R$)</t>
        </is>
      </c>
      <c r="B4" s="29">
        <f>SUMIF(Movimentações!B:B,"Venda",Movimentações!J:J)</f>
        <v/>
      </c>
    </row>
    <row r="5">
      <c r="A5" s="28" t="inlineStr">
        <is>
          <t>Qtd. Itens em Reposição</t>
        </is>
      </c>
      <c r="B5" s="30">
        <f>COUNTIF(Estoque!O:O,"Repor")</f>
        <v/>
      </c>
    </row>
    <row r="6">
      <c r="A6" s="28" t="inlineStr">
        <is>
          <t>Ticket Médio de Vendas (R$)</t>
        </is>
      </c>
      <c r="B6" s="29">
        <f>IFERROR(AVERAGEIF(Movimentações!B:B,"Venda",Movimentações!J:J),0)</f>
        <v/>
      </c>
    </row>
    <row r="7">
      <c r="A7" s="28" t="inlineStr">
        <is>
          <t>Média Custo Unitário (R$)</t>
        </is>
      </c>
      <c r="B7" s="29">
        <f>IFERROR(AVERAGE(Estoque!K2:K11),0)</f>
        <v/>
      </c>
    </row>
    <row r="8">
      <c r="A8" s="28" t="inlineStr">
        <is>
          <t>Total Movimentações no Período</t>
        </is>
      </c>
      <c r="B8" s="30">
        <f>COUNTA(Movimentações!A2:A11)</f>
        <v/>
      </c>
    </row>
    <row r="9">
      <c r="A9" s="28" t="inlineStr">
        <is>
          <t>Valor Total em Estoque (R$)</t>
        </is>
      </c>
      <c r="B9" s="29">
        <f>IFERROR(SUM(Estoque!M2:M11),0)</f>
        <v/>
      </c>
    </row>
    <row r="10">
      <c r="A10" s="28" t="inlineStr">
        <is>
          <t>Margem Bruta Estimada (%)</t>
        </is>
      </c>
      <c r="B10" s="29">
        <f>IFERROR(IFERROR(SUMIF(Movimentações!B:B,"Venda",Movimentações!J:J),0)-IFERROR(SUMIF(Movimentações!B:B,"Compra",Movimentações!J:J),0),0)</f>
        <v/>
      </c>
    </row>
    <row r="13">
      <c r="A13" s="26" t="inlineStr">
        <is>
          <t>🏆 Top 5 Itens — Maior Valor em Estoque</t>
        </is>
      </c>
      <c r="B13" s="27" t="n"/>
    </row>
    <row r="14">
      <c r="A14" s="13" t="inlineStr">
        <is>
          <t>Item</t>
        </is>
      </c>
      <c r="B14" s="13" t="inlineStr">
        <is>
          <t>Valor em Estoque</t>
        </is>
      </c>
    </row>
    <row r="15">
      <c r="A15" s="3" t="inlineStr">
        <is>
          <t>Caixa d'água 500 L</t>
        </is>
      </c>
      <c r="B15" s="22">
        <f>IFERROR(VLOOKUP("Caixa d'água 500 L",Estoque!B:M,12,FALSE),0)</f>
        <v/>
      </c>
    </row>
    <row r="16">
      <c r="A16" s="10" t="inlineStr">
        <is>
          <t>Registro esfera 20 mm</t>
        </is>
      </c>
      <c r="B16" s="24">
        <f>IFERROR(VLOOKUP("Registro esfera 20 mm",Estoque!B:M,12,FALSE),0)</f>
        <v/>
      </c>
    </row>
    <row r="17">
      <c r="A17" s="3" t="inlineStr">
        <is>
          <t>Válvula de retenção 25 mm</t>
        </is>
      </c>
      <c r="B17" s="22">
        <f>IFERROR(VLOOKUP("Válvula de retenção 25 mm",Estoque!B:M,12,FALSE),0)</f>
        <v/>
      </c>
    </row>
    <row r="18">
      <c r="A18" s="10" t="inlineStr">
        <is>
          <t>Tubo PVC soldável 20 mm</t>
        </is>
      </c>
      <c r="B18" s="24">
        <f>IFERROR(VLOOKUP("Tubo PVC soldável 20 mm",Estoque!B:M,12,FALSE),0)</f>
        <v/>
      </c>
    </row>
    <row r="19">
      <c r="A19" s="3" t="inlineStr">
        <is>
          <t>Tubo PVC soldável 25 mm</t>
        </is>
      </c>
      <c r="B19" s="22">
        <f>IFERROR(VLOOKUP("Tubo PVC soldável 25 mm",Estoque!B:M,12,FALSE),0)</f>
        <v/>
      </c>
    </row>
    <row r="20">
      <c r="A20" s="26" t="inlineStr">
        <is>
          <t>💳 Total por Forma de Pagamento</t>
        </is>
      </c>
      <c r="B20" s="27" t="n"/>
      <c r="D20" s="26" t="inlineStr">
        <is>
          <t>📦 Total por Tipo de Movimentação</t>
        </is>
      </c>
      <c r="E20" s="27" t="n"/>
    </row>
    <row r="21">
      <c r="A21" s="13" t="inlineStr">
        <is>
          <t>Forma de Pagamento</t>
        </is>
      </c>
      <c r="B21" s="13" t="inlineStr">
        <is>
          <t>Total (R$)</t>
        </is>
      </c>
      <c r="D21" s="13" t="inlineStr">
        <is>
          <t>Tipo</t>
        </is>
      </c>
      <c r="E21" s="13" t="inlineStr">
        <is>
          <t>Total (R$)</t>
        </is>
      </c>
    </row>
    <row r="22">
      <c r="A22" s="3" t="inlineStr">
        <is>
          <t>PIX</t>
        </is>
      </c>
      <c r="B22" s="22">
        <f>IFERROR(SUMIF(Movimentações!K:K,"PIX",Movimentações!J:J),0)</f>
        <v/>
      </c>
      <c r="D22" s="3" t="inlineStr">
        <is>
          <t>Compra</t>
        </is>
      </c>
      <c r="E22" s="22">
        <f>IFERROR(SUMIF(Movimentações!B:B,"Compra",Movimentações!J:J),0)</f>
        <v/>
      </c>
    </row>
    <row r="23">
      <c r="A23" s="10" t="inlineStr">
        <is>
          <t>Boleto</t>
        </is>
      </c>
      <c r="B23" s="24">
        <f>IFERROR(SUMIF(Movimentações!K:K,"Boleto",Movimentações!J:J),0)</f>
        <v/>
      </c>
      <c r="D23" s="10" t="inlineStr">
        <is>
          <t>Venda</t>
        </is>
      </c>
      <c r="E23" s="24">
        <f>IFERROR(SUMIF(Movimentações!B:B,"Venda",Movimentações!J:J),0)</f>
        <v/>
      </c>
    </row>
    <row r="24">
      <c r="A24" s="3" t="inlineStr">
        <is>
          <t>Cartão</t>
        </is>
      </c>
      <c r="B24" s="22">
        <f>IFERROR(SUMIF(Movimentações!K:K,"Cartão",Movimentações!J:J),0)</f>
        <v/>
      </c>
      <c r="D24" s="3" t="inlineStr">
        <is>
          <t>Devolução</t>
        </is>
      </c>
      <c r="E24" s="22">
        <f>IFERROR(SUMIF(Movimentações!B:B,"Devolução",Movimentações!J:J),0)</f>
        <v/>
      </c>
    </row>
    <row r="25">
      <c r="A25" s="10" t="inlineStr">
        <is>
          <t>—</t>
        </is>
      </c>
      <c r="B25" s="24">
        <f>IFERROR(SUMIF(Movimentações!K:K,"—",Movimentações!J:J),0)</f>
        <v/>
      </c>
      <c r="D25" s="10" t="inlineStr">
        <is>
          <t>Consumo interno</t>
        </is>
      </c>
      <c r="E25" s="24">
        <f>IFERROR(SUMIF(Movimentações!B:B,"Consumo interno",Movimentações!J:J),0)</f>
        <v/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2026-07-21T08:42:02Z</dcterms:created>
  <dcterms:modified xmlns:dcterms="http://purl.org/dc/terms/" xmlns:xsi="http://www.w3.org/2001/XMLSchema-instance" xsi:type="dcterms:W3CDTF">2026-07-21T08:42:02Z</dcterms:modified>
</cp:coreProperties>
</file>