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rtfólio de Projetos" sheetId="1" state="visible" r:id="rId1"/>
    <sheet xmlns:r="http://schemas.openxmlformats.org/officeDocument/2006/relationships" name="Orçamento" sheetId="2" state="visible" r:id="rId2"/>
    <sheet xmlns:r="http://schemas.openxmlformats.org/officeDocument/2006/relationships" name="Resumo Executivo" sheetId="3" state="visible" r:id="rId3"/>
    <sheet xmlns:r="http://schemas.openxmlformats.org/officeDocument/2006/relationships" name="Listas e Valida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/MM/YYYY"/>
    <numFmt numFmtId="166" formatCode="R$ #,##0.00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1"/>
    </font>
    <font>
      <name val="Calibri"/>
      <b val="1"/>
      <color rgb="00FFFFFF"/>
      <sz val="10"/>
    </font>
    <font>
      <name val="Calibri"/>
      <b val="1"/>
      <color rgb="000F766E"/>
      <sz val="11"/>
    </font>
    <font>
      <name val="Calibri"/>
      <b val="1"/>
      <color rgb="000F766E"/>
      <sz val="14"/>
    </font>
    <font>
      <name val="Calibri"/>
      <b val="1"/>
      <color rgb="00FFFFFF"/>
      <sz val="14"/>
    </font>
    <font>
      <name val="Calibri"/>
      <b val="1"/>
      <color rgb="000F766E"/>
      <sz val="10"/>
    </font>
    <font>
      <name val="Calibri"/>
      <sz val="9"/>
    </font>
  </fonts>
  <fills count="8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14B8A6"/>
      </patternFill>
    </fill>
    <fill>
      <patternFill patternType="solid">
        <fgColor rgb="00FFFBEB"/>
      </patternFill>
    </fill>
    <fill>
      <patternFill patternType="solid">
        <fgColor rgb="00ECFDF5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165" fontId="2" fillId="3" borderId="1" applyAlignment="1" pivotButton="0" quotePrefix="0" xfId="0">
      <alignment horizontal="left" vertical="center" wrapText="1"/>
    </xf>
    <xf numFmtId="166" fontId="2" fillId="3" borderId="1" applyAlignment="1" pivotButton="0" quotePrefix="0" xfId="0">
      <alignment horizontal="right" vertical="center"/>
    </xf>
    <xf numFmtId="10" fontId="2" fillId="3" borderId="1" applyAlignment="1" pivotButton="0" quotePrefix="0" xfId="0">
      <alignment horizontal="right" vertical="center"/>
    </xf>
    <xf numFmtId="0" fontId="2" fillId="4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left" vertical="center" wrapText="1"/>
    </xf>
    <xf numFmtId="165" fontId="2" fillId="4" borderId="1" applyAlignment="1" pivotButton="0" quotePrefix="0" xfId="0">
      <alignment horizontal="left" vertical="center" wrapText="1"/>
    </xf>
    <xf numFmtId="166" fontId="2" fillId="4" borderId="1" applyAlignment="1" pivotButton="0" quotePrefix="0" xfId="0">
      <alignment horizontal="right" vertical="center"/>
    </xf>
    <xf numFmtId="10" fontId="2" fillId="4" borderId="1" applyAlignment="1" pivotButton="0" quotePrefix="0" xfId="0">
      <alignment horizontal="right" vertical="center"/>
    </xf>
    <xf numFmtId="0" fontId="0" fillId="5" borderId="1" pivotButton="0" quotePrefix="0" xfId="0"/>
    <xf numFmtId="0" fontId="4" fillId="5" borderId="1" applyAlignment="1" pivotButton="0" quotePrefix="0" xfId="0">
      <alignment horizontal="center" vertical="center" wrapText="1"/>
    </xf>
    <xf numFmtId="166" fontId="3" fillId="5" borderId="1" applyAlignment="1" pivotButton="0" quotePrefix="0" xfId="0">
      <alignment horizontal="right" vertical="center"/>
    </xf>
    <xf numFmtId="10" fontId="3" fillId="5" borderId="1" applyAlignment="1" pivotButton="0" quotePrefix="0" xfId="0">
      <alignment horizontal="right" vertical="center"/>
    </xf>
    <xf numFmtId="0" fontId="2" fillId="6" borderId="1" applyAlignment="1" pivotButton="0" quotePrefix="0" xfId="0">
      <alignment horizontal="left" vertical="center" wrapText="1"/>
    </xf>
    <xf numFmtId="0" fontId="3" fillId="7" borderId="1" applyAlignment="1" pivotButton="0" quotePrefix="0" xfId="0">
      <alignment horizontal="left" vertical="center" wrapText="1"/>
    </xf>
    <xf numFmtId="166" fontId="5" fillId="4" borderId="1" applyAlignment="1" pivotButton="0" quotePrefix="0" xfId="0">
      <alignment horizontal="right" vertical="center"/>
    </xf>
    <xf numFmtId="1" fontId="5" fillId="4" borderId="1" applyAlignment="1" pivotButton="0" quotePrefix="0" xfId="0">
      <alignment horizontal="right" vertical="center"/>
    </xf>
    <xf numFmtId="0" fontId="7" fillId="2" borderId="0" applyAlignment="1" pivotButton="0" quotePrefix="0" xfId="0">
      <alignment horizontal="center" vertical="center" wrapText="1"/>
    </xf>
    <xf numFmtId="0" fontId="0" fillId="4" borderId="1" pivotButton="0" quotePrefix="0" xfId="0"/>
    <xf numFmtId="10" fontId="5" fillId="4" borderId="1" applyAlignment="1" pivotButton="0" quotePrefix="0" xfId="0">
      <alignment horizontal="right" vertical="center"/>
    </xf>
    <xf numFmtId="0" fontId="8" fillId="7" borderId="1" applyAlignment="1" pivotButton="0" quotePrefix="0" xfId="0">
      <alignment horizontal="left" vertical="top" wrapText="1"/>
    </xf>
    <xf numFmtId="0" fontId="9" fillId="7" borderId="1" applyAlignment="1" pivotButton="0" quotePrefix="0" xfId="0">
      <alignment horizontal="left" vertical="top" wrapText="1"/>
    </xf>
    <xf numFmtId="0" fontId="0" fillId="7" borderId="1" pivotButton="0" quotePrefix="0" xfId="0"/>
    <xf numFmtId="0" fontId="8" fillId="4" borderId="1" applyAlignment="1" pivotButton="0" quotePrefix="0" xfId="0">
      <alignment horizontal="left" vertical="top" wrapText="1"/>
    </xf>
    <xf numFmtId="0" fontId="9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dxfs count="5">
    <dxf>
      <font>
        <color rgb="00166534"/>
        <sz val="10"/>
      </font>
      <fill>
        <patternFill patternType="solid">
          <fgColor rgb="00DCFCE7"/>
        </patternFill>
      </fill>
    </dxf>
    <dxf>
      <font>
        <color rgb="00991B1B"/>
        <sz val="10"/>
      </font>
      <fill>
        <patternFill patternType="solid">
          <fgColor rgb="00FEE2E2"/>
        </patternFill>
      </fill>
    </dxf>
    <dxf>
      <font>
        <b val="1"/>
        <color rgb="00991B1B"/>
        <sz val="10"/>
      </font>
      <fill>
        <patternFill patternType="solid">
          <fgColor rgb="00FEE2E2"/>
        </patternFill>
      </fill>
    </dxf>
    <dxf>
      <font>
        <b val="1"/>
        <color rgb="00166534"/>
        <sz val="10"/>
      </font>
      <fill>
        <patternFill patternType="solid">
          <fgColor rgb="00DCFCE7"/>
        </patternFill>
      </fill>
    </dxf>
    <dxf>
      <font>
        <b val="1"/>
        <color rgb="00854D0E"/>
        <sz val="10"/>
      </font>
      <fill>
        <patternFill patternType="solid">
          <f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Valor Contratado x Custo x Lucro por Projeto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 Executivo'!B27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'Resumo Executivo'!$A$28:$A$37</f>
            </numRef>
          </cat>
          <val>
            <numRef>
              <f>'Resumo Executivo'!$B$28:$B$37</f>
            </numRef>
          </val>
        </ser>
        <ser>
          <idx val="1"/>
          <order val="1"/>
          <tx>
            <strRef>
              <f>'Resumo Executivo'!C27</f>
            </strRef>
          </tx>
          <spPr>
            <a:solidFill xmlns:a="http://schemas.openxmlformats.org/drawingml/2006/main">
              <a:srgbClr val="F59E0B"/>
            </a:solidFill>
            <a:ln xmlns:a="http://schemas.openxmlformats.org/drawingml/2006/main">
              <a:prstDash val="solid"/>
            </a:ln>
          </spPr>
          <cat>
            <numRef>
              <f>'Resumo Executivo'!$A$28:$A$37</f>
            </numRef>
          </cat>
          <val>
            <numRef>
              <f>'Resumo Executivo'!$C$28:$C$37</f>
            </numRef>
          </val>
        </ser>
        <ser>
          <idx val="2"/>
          <order val="2"/>
          <tx>
            <strRef>
              <f>'Resumo Executivo'!D27</f>
            </strRef>
          </tx>
          <spPr>
            <a:solidFill xmlns:a="http://schemas.openxmlformats.org/drawingml/2006/main">
              <a:srgbClr val="22C55E"/>
            </a:solidFill>
            <a:ln xmlns:a="http://schemas.openxmlformats.org/drawingml/2006/main">
              <a:prstDash val="solid"/>
            </a:ln>
          </spPr>
          <cat>
            <numRef>
              <f>'Resumo Executivo'!$A$28:$A$37</f>
            </numRef>
          </cat>
          <val>
            <numRef>
              <f>'Resumo Executivo'!$D$28:$D$37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Projeto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 (R$)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por Status</a:t>
            </a:r>
          </a:p>
        </rich>
      </tx>
    </title>
    <plotArea>
      <pieChart>
        <varyColors val="1"/>
        <ser>
          <idx val="0"/>
          <order val="0"/>
          <tx>
            <strRef>
              <f>'Resumo Executivo'!B42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4B8A6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22C55E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94A3B8"/>
              </a:solidFill>
              <a:ln xmlns:a="http://schemas.openxmlformats.org/drawingml/2006/main">
                <a:prstDash val="solid"/>
              </a:ln>
            </spPr>
          </dPt>
          <cat>
            <numRef>
              <f>'Resumo Executivo'!$A$43:$A$46</f>
            </numRef>
          </cat>
          <val>
            <numRef>
              <f>'Resumo Executivo'!$B$43:$B$46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792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21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2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2" customWidth="1" min="2" max="2"/>
    <col width="18" customWidth="1" min="3" max="3"/>
    <col width="18" customWidth="1" min="4" max="4"/>
    <col width="28" customWidth="1" min="5" max="5"/>
    <col width="14" customWidth="1" min="6" max="6"/>
    <col width="16" customWidth="1" min="7" max="7"/>
    <col width="14" customWidth="1" min="8" max="8"/>
    <col width="14" customWidth="1" min="9" max="9"/>
    <col width="14" customWidth="1" min="10" max="10"/>
    <col width="18" customWidth="1" min="11" max="11"/>
    <col width="18" customWidth="1" min="12" max="12"/>
    <col width="18" customWidth="1" min="13" max="13"/>
    <col width="16" customWidth="1" min="14" max="14"/>
    <col width="10" customWidth="1" min="15" max="15"/>
    <col width="22" customWidth="1" min="16" max="16"/>
  </cols>
  <sheetData>
    <row r="1" ht="30" customHeight="1">
      <c r="A1" s="1" t="inlineStr">
        <is>
          <t>ID Projeto</t>
        </is>
      </c>
      <c r="B1" s="1" t="inlineStr">
        <is>
          <t>Cliente</t>
        </is>
      </c>
      <c r="C1" s="1" t="inlineStr">
        <is>
          <t>CNPJ/CPF</t>
        </is>
      </c>
      <c r="D1" s="1" t="inlineStr">
        <is>
          <t>Cidade/UF</t>
        </is>
      </c>
      <c r="E1" s="1" t="inlineStr">
        <is>
          <t>Serviço/Projeto</t>
        </is>
      </c>
      <c r="F1" s="1" t="inlineStr">
        <is>
          <t>Categoria</t>
        </is>
      </c>
      <c r="G1" s="1" t="inlineStr">
        <is>
          <t>Responsável</t>
        </is>
      </c>
      <c r="H1" s="1" t="inlineStr">
        <is>
          <t>Data de início</t>
        </is>
      </c>
      <c r="I1" s="1" t="inlineStr">
        <is>
          <t>Prazo final</t>
        </is>
      </c>
      <c r="J1" s="1" t="inlineStr">
        <is>
          <t>Status</t>
        </is>
      </c>
      <c r="K1" s="1" t="inlineStr">
        <is>
          <t>Valor contratado (R$)</t>
        </is>
      </c>
      <c r="L1" s="1" t="inlineStr">
        <is>
          <t>Custo estimado (R$)</t>
        </is>
      </c>
      <c r="M1" s="1" t="inlineStr">
        <is>
          <t>Lucro estimado (R$)</t>
        </is>
      </c>
      <c r="N1" s="1" t="inlineStr">
        <is>
          <t>Margem estimada (%)</t>
        </is>
      </c>
      <c r="O1" s="1" t="inlineStr">
        <is>
          <t>Prioridade</t>
        </is>
      </c>
      <c r="P1" s="1" t="inlineStr">
        <is>
          <t>Observações</t>
        </is>
      </c>
    </row>
    <row r="2">
      <c r="A2" s="2" t="inlineStr">
        <is>
          <t>PRJ-001</t>
        </is>
      </c>
      <c r="B2" s="3" t="inlineStr">
        <is>
          <t>Agência Nova Era</t>
        </is>
      </c>
      <c r="C2" s="3" t="inlineStr">
        <is>
          <t>12.345.678/0001-90</t>
        </is>
      </c>
      <c r="D2" s="3" t="inlineStr">
        <is>
          <t>São Paulo/SP</t>
        </is>
      </c>
      <c r="E2" s="3" t="inlineStr">
        <is>
          <t>Criação de Site Institucional</t>
        </is>
      </c>
      <c r="F2" s="3" t="inlineStr">
        <is>
          <t>Digital</t>
        </is>
      </c>
      <c r="G2" s="3" t="inlineStr">
        <is>
          <t>Lucas Mendes</t>
        </is>
      </c>
      <c r="H2" s="4" t="n">
        <v>46032</v>
      </c>
      <c r="I2" s="4" t="n">
        <v>46096</v>
      </c>
      <c r="J2" s="2" t="inlineStr">
        <is>
          <t>Concluído</t>
        </is>
      </c>
      <c r="K2" s="5" t="n">
        <v>12000</v>
      </c>
      <c r="L2" s="5" t="n">
        <v>4500</v>
      </c>
      <c r="M2" s="5">
        <f>IFERROR(K2-L2,0)</f>
        <v/>
      </c>
      <c r="N2" s="6">
        <f>IFERROR(M2/K2,0)</f>
        <v/>
      </c>
      <c r="O2" s="2" t="inlineStr">
        <is>
          <t>Alta</t>
        </is>
      </c>
      <c r="P2" s="3" t="inlineStr">
        <is>
          <t>Entregue com sucesso</t>
        </is>
      </c>
    </row>
    <row r="3">
      <c r="A3" s="7" t="inlineStr">
        <is>
          <t>PRJ-002</t>
        </is>
      </c>
      <c r="B3" s="8" t="inlineStr">
        <is>
          <t>Moda Bella Ltda.</t>
        </is>
      </c>
      <c r="C3" s="8" t="inlineStr">
        <is>
          <t>98.765.432/0001-11</t>
        </is>
      </c>
      <c r="D3" s="8" t="inlineStr">
        <is>
          <t>Campinas/SP</t>
        </is>
      </c>
      <c r="E3" s="8" t="inlineStr">
        <is>
          <t>Gestão de Tráfego Pago</t>
        </is>
      </c>
      <c r="F3" s="8" t="inlineStr">
        <is>
          <t>Marketing</t>
        </is>
      </c>
      <c r="G3" s="8" t="inlineStr">
        <is>
          <t>Carla Souza</t>
        </is>
      </c>
      <c r="H3" s="9" t="n">
        <v>46054</v>
      </c>
      <c r="I3" s="9" t="n">
        <v>46234</v>
      </c>
      <c r="J3" s="7" t="inlineStr">
        <is>
          <t>Em andamento</t>
        </is>
      </c>
      <c r="K3" s="10" t="n">
        <v>3600</v>
      </c>
      <c r="L3" s="10" t="n">
        <v>1200</v>
      </c>
      <c r="M3" s="10">
        <f>IFERROR(K3-L3,0)</f>
        <v/>
      </c>
      <c r="N3" s="11">
        <f>IFERROR(M3/K3,0)</f>
        <v/>
      </c>
      <c r="O3" s="7" t="inlineStr">
        <is>
          <t>Alta</t>
        </is>
      </c>
      <c r="P3" s="8" t="inlineStr">
        <is>
          <t>Meta mensal atingida</t>
        </is>
      </c>
    </row>
    <row r="4">
      <c r="A4" s="2" t="inlineStr">
        <is>
          <t>PRJ-003</t>
        </is>
      </c>
      <c r="B4" s="3" t="inlineStr">
        <is>
          <t>Studio Arte &amp; Design</t>
        </is>
      </c>
      <c r="C4" s="3" t="inlineStr">
        <is>
          <t>234.567.890-12</t>
        </is>
      </c>
      <c r="D4" s="3" t="inlineStr">
        <is>
          <t>Belo Horizonte/MG</t>
        </is>
      </c>
      <c r="E4" s="3" t="inlineStr">
        <is>
          <t>Identidade Visual Completa</t>
        </is>
      </c>
      <c r="F4" s="3" t="inlineStr">
        <is>
          <t>Design</t>
        </is>
      </c>
      <c r="G4" s="3" t="inlineStr">
        <is>
          <t>Ana Lima</t>
        </is>
      </c>
      <c r="H4" s="4" t="n">
        <v>46042</v>
      </c>
      <c r="I4" s="4" t="n">
        <v>46132</v>
      </c>
      <c r="J4" s="2" t="inlineStr">
        <is>
          <t>Atrasado</t>
        </is>
      </c>
      <c r="K4" s="5" t="n">
        <v>8500</v>
      </c>
      <c r="L4" s="5" t="n">
        <v>3200</v>
      </c>
      <c r="M4" s="5">
        <f>IFERROR(K4-L4,0)</f>
        <v/>
      </c>
      <c r="N4" s="6">
        <f>IFERROR(M4/K4,0)</f>
        <v/>
      </c>
      <c r="O4" s="2" t="inlineStr">
        <is>
          <t>Alta</t>
        </is>
      </c>
      <c r="P4" s="3" t="inlineStr">
        <is>
          <t>Aguardando briefing</t>
        </is>
      </c>
    </row>
    <row r="5">
      <c r="A5" s="7" t="inlineStr">
        <is>
          <t>PRJ-004</t>
        </is>
      </c>
      <c r="B5" s="8" t="inlineStr">
        <is>
          <t>Construtora Fortes</t>
        </is>
      </c>
      <c r="C5" s="8" t="inlineStr">
        <is>
          <t>55.444.333/0001-22</t>
        </is>
      </c>
      <c r="D5" s="8" t="inlineStr">
        <is>
          <t>Curitiba/PR</t>
        </is>
      </c>
      <c r="E5" s="8" t="inlineStr">
        <is>
          <t>Consultoria Financeira MEI</t>
        </is>
      </c>
      <c r="F5" s="8" t="inlineStr">
        <is>
          <t>Financeiro</t>
        </is>
      </c>
      <c r="G5" s="8" t="inlineStr">
        <is>
          <t>João Ferreira</t>
        </is>
      </c>
      <c r="H5" s="9" t="n">
        <v>46082</v>
      </c>
      <c r="I5" s="9" t="n">
        <v>46203</v>
      </c>
      <c r="J5" s="7" t="inlineStr">
        <is>
          <t>Em andamento</t>
        </is>
      </c>
      <c r="K5" s="10" t="n">
        <v>6000</v>
      </c>
      <c r="L5" s="10" t="n">
        <v>1800</v>
      </c>
      <c r="M5" s="10">
        <f>IFERROR(K5-L5,0)</f>
        <v/>
      </c>
      <c r="N5" s="11">
        <f>IFERROR(M5/K5,0)</f>
        <v/>
      </c>
      <c r="O5" s="7" t="inlineStr">
        <is>
          <t>Média</t>
        </is>
      </c>
      <c r="P5" s="8" t="inlineStr">
        <is>
          <t>Revisão trimestral</t>
        </is>
      </c>
    </row>
    <row r="6">
      <c r="A6" s="2" t="inlineStr">
        <is>
          <t>PRJ-005</t>
        </is>
      </c>
      <c r="B6" s="3" t="inlineStr">
        <is>
          <t>Pet Shop Alegria</t>
        </is>
      </c>
      <c r="C6" s="3" t="inlineStr">
        <is>
          <t>111.222.333-44</t>
        </is>
      </c>
      <c r="D6" s="3" t="inlineStr">
        <is>
          <t>Recife/PE</t>
        </is>
      </c>
      <c r="E6" s="3" t="inlineStr">
        <is>
          <t>Gestão Redes Sociais</t>
        </is>
      </c>
      <c r="F6" s="3" t="inlineStr">
        <is>
          <t>Marketing</t>
        </is>
      </c>
      <c r="G6" s="3" t="inlineStr">
        <is>
          <t>Maria Costa</t>
        </is>
      </c>
      <c r="H6" s="4" t="n">
        <v>46068</v>
      </c>
      <c r="I6" s="4" t="n">
        <v>46249</v>
      </c>
      <c r="J6" s="2" t="inlineStr">
        <is>
          <t>Em andamento</t>
        </is>
      </c>
      <c r="K6" s="5" t="n">
        <v>1800</v>
      </c>
      <c r="L6" s="5" t="n">
        <v>600</v>
      </c>
      <c r="M6" s="5">
        <f>IFERROR(K6-L6,0)</f>
        <v/>
      </c>
      <c r="N6" s="6">
        <f>IFERROR(M6/K6,0)</f>
        <v/>
      </c>
      <c r="O6" s="2" t="inlineStr">
        <is>
          <t>Média</t>
        </is>
      </c>
      <c r="P6" s="3" t="inlineStr">
        <is>
          <t>Posts semanais</t>
        </is>
      </c>
    </row>
    <row r="7">
      <c r="A7" s="7" t="inlineStr">
        <is>
          <t>PRJ-006</t>
        </is>
      </c>
      <c r="B7" s="8" t="inlineStr">
        <is>
          <t>TechSol Sistemas</t>
        </is>
      </c>
      <c r="C7" s="8" t="inlineStr">
        <is>
          <t>77.888.999/0001-55</t>
        </is>
      </c>
      <c r="D7" s="8" t="inlineStr">
        <is>
          <t>Salvador/BA</t>
        </is>
      </c>
      <c r="E7" s="8" t="inlineStr">
        <is>
          <t>Landing Page + SEO</t>
        </is>
      </c>
      <c r="F7" s="8" t="inlineStr">
        <is>
          <t>Digital</t>
        </is>
      </c>
      <c r="G7" s="8" t="inlineStr">
        <is>
          <t>Pedro Alves</t>
        </is>
      </c>
      <c r="H7" s="9" t="n">
        <v>46091</v>
      </c>
      <c r="I7" s="9" t="n">
        <v>46152</v>
      </c>
      <c r="J7" s="7" t="inlineStr">
        <is>
          <t>Atrasado</t>
        </is>
      </c>
      <c r="K7" s="10" t="n">
        <v>5500</v>
      </c>
      <c r="L7" s="10" t="n">
        <v>2100</v>
      </c>
      <c r="M7" s="10">
        <f>IFERROR(K7-L7,0)</f>
        <v/>
      </c>
      <c r="N7" s="11">
        <f>IFERROR(M7/K7,0)</f>
        <v/>
      </c>
      <c r="O7" s="7" t="inlineStr">
        <is>
          <t>Alta</t>
        </is>
      </c>
      <c r="P7" s="8" t="inlineStr">
        <is>
          <t>Cliente solicitou revisão</t>
        </is>
      </c>
    </row>
    <row r="8">
      <c r="A8" s="2" t="inlineStr">
        <is>
          <t>PRJ-007</t>
        </is>
      </c>
      <c r="B8" s="3" t="inlineStr">
        <is>
          <t>Restaurante Sabor &amp; Arte</t>
        </is>
      </c>
      <c r="C8" s="3" t="inlineStr">
        <is>
          <t>321.654.987-00</t>
        </is>
      </c>
      <c r="D8" s="3" t="inlineStr">
        <is>
          <t>Florianópolis/SC</t>
        </is>
      </c>
      <c r="E8" s="3" t="inlineStr">
        <is>
          <t>Criação de Cardápio Digital</t>
        </is>
      </c>
      <c r="F8" s="3" t="inlineStr">
        <is>
          <t>Design</t>
        </is>
      </c>
      <c r="G8" s="3" t="inlineStr">
        <is>
          <t>Carla Souza</t>
        </is>
      </c>
      <c r="H8" s="4" t="n">
        <v>46113</v>
      </c>
      <c r="I8" s="4" t="n">
        <v>46174</v>
      </c>
      <c r="J8" s="2" t="inlineStr">
        <is>
          <t>Em andamento</t>
        </is>
      </c>
      <c r="K8" s="5" t="n">
        <v>3200</v>
      </c>
      <c r="L8" s="5" t="n">
        <v>1100</v>
      </c>
      <c r="M8" s="5">
        <f>IFERROR(K8-L8,0)</f>
        <v/>
      </c>
      <c r="N8" s="6">
        <f>IFERROR(M8/K8,0)</f>
        <v/>
      </c>
      <c r="O8" s="2" t="inlineStr">
        <is>
          <t>Baixa</t>
        </is>
      </c>
      <c r="P8" s="3" t="inlineStr">
        <is>
          <t>Layout aprovado</t>
        </is>
      </c>
    </row>
    <row r="9">
      <c r="A9" s="7" t="inlineStr">
        <is>
          <t>PRJ-008</t>
        </is>
      </c>
      <c r="B9" s="8" t="inlineStr">
        <is>
          <t>Consultório Dra. Fátima</t>
        </is>
      </c>
      <c r="C9" s="8" t="inlineStr">
        <is>
          <t>444.555.666-77</t>
        </is>
      </c>
      <c r="D9" s="8" t="inlineStr">
        <is>
          <t>Goiânia/GO</t>
        </is>
      </c>
      <c r="E9" s="8" t="inlineStr">
        <is>
          <t>Branding e Papelaria</t>
        </is>
      </c>
      <c r="F9" s="8" t="inlineStr">
        <is>
          <t>Design</t>
        </is>
      </c>
      <c r="G9" s="8" t="inlineStr">
        <is>
          <t>Ana Lima</t>
        </is>
      </c>
      <c r="H9" s="9" t="n">
        <v>46096</v>
      </c>
      <c r="I9" s="9" t="n">
        <v>46218</v>
      </c>
      <c r="J9" s="7" t="inlineStr">
        <is>
          <t>Em andamento</t>
        </is>
      </c>
      <c r="K9" s="10" t="n">
        <v>7800</v>
      </c>
      <c r="L9" s="10" t="n">
        <v>2900</v>
      </c>
      <c r="M9" s="10">
        <f>IFERROR(K9-L9,0)</f>
        <v/>
      </c>
      <c r="N9" s="11">
        <f>IFERROR(M9/K9,0)</f>
        <v/>
      </c>
      <c r="O9" s="7" t="inlineStr">
        <is>
          <t>Média</t>
        </is>
      </c>
      <c r="P9" s="8" t="inlineStr">
        <is>
          <t>Aguarda aprovação final</t>
        </is>
      </c>
    </row>
    <row r="10">
      <c r="A10" s="2" t="inlineStr">
        <is>
          <t>PRJ-009</t>
        </is>
      </c>
      <c r="B10" s="3" t="inlineStr">
        <is>
          <t>Loja Online Vitrine</t>
        </is>
      </c>
      <c r="C10" s="3" t="inlineStr">
        <is>
          <t>88.999.000/0001-33</t>
        </is>
      </c>
      <c r="D10" s="3" t="inlineStr">
        <is>
          <t>Porto Alegre/RS</t>
        </is>
      </c>
      <c r="E10" s="3" t="inlineStr">
        <is>
          <t>E-commerce + Integração Pix</t>
        </is>
      </c>
      <c r="F10" s="3" t="inlineStr">
        <is>
          <t>Digital</t>
        </is>
      </c>
      <c r="G10" s="3" t="inlineStr">
        <is>
          <t>Lucas Mendes</t>
        </is>
      </c>
      <c r="H10" s="4" t="n">
        <v>46122</v>
      </c>
      <c r="I10" s="4" t="n">
        <v>46275</v>
      </c>
      <c r="J10" s="2" t="inlineStr">
        <is>
          <t>Em andamento</t>
        </is>
      </c>
      <c r="K10" s="5" t="n">
        <v>18000</v>
      </c>
      <c r="L10" s="5" t="n">
        <v>7000</v>
      </c>
      <c r="M10" s="5">
        <f>IFERROR(K10-L10,0)</f>
        <v/>
      </c>
      <c r="N10" s="6">
        <f>IFERROR(M10/K10,0)</f>
        <v/>
      </c>
      <c r="O10" s="2" t="inlineStr">
        <is>
          <t>Alta</t>
        </is>
      </c>
      <c r="P10" s="3" t="inlineStr">
        <is>
          <t>Fase de homologação</t>
        </is>
      </c>
    </row>
    <row r="11">
      <c r="A11" s="7" t="inlineStr">
        <is>
          <t>PRJ-010</t>
        </is>
      </c>
      <c r="B11" s="8" t="inlineStr">
        <is>
          <t>Academia Fit Total</t>
        </is>
      </c>
      <c r="C11" s="8" t="inlineStr">
        <is>
          <t>22.111.000/0001-44</t>
        </is>
      </c>
      <c r="D11" s="8" t="inlineStr">
        <is>
          <t>São Paulo/SP</t>
        </is>
      </c>
      <c r="E11" s="8" t="inlineStr">
        <is>
          <t>Campanha Anual de Marketing</t>
        </is>
      </c>
      <c r="F11" s="8" t="inlineStr">
        <is>
          <t>Marketing</t>
        </is>
      </c>
      <c r="G11" s="8" t="inlineStr">
        <is>
          <t>João Ferreira</t>
        </is>
      </c>
      <c r="H11" s="9" t="n">
        <v>46027</v>
      </c>
      <c r="I11" s="9" t="n">
        <v>46022</v>
      </c>
      <c r="J11" s="7" t="inlineStr">
        <is>
          <t>Atrasado</t>
        </is>
      </c>
      <c r="K11" s="10" t="n">
        <v>9600</v>
      </c>
      <c r="L11" s="10" t="n">
        <v>3800</v>
      </c>
      <c r="M11" s="10">
        <f>IFERROR(K11-L11,0)</f>
        <v/>
      </c>
      <c r="N11" s="11">
        <f>IFERROR(M11/K11,0)</f>
        <v/>
      </c>
      <c r="O11" s="7" t="inlineStr">
        <is>
          <t>Alta</t>
        </is>
      </c>
      <c r="P11" s="8" t="inlineStr">
        <is>
          <t>Renovação de contrato</t>
        </is>
      </c>
    </row>
    <row r="12" ht="20" customHeight="1">
      <c r="A12" s="12" t="n"/>
      <c r="B12" s="12" t="n"/>
      <c r="C12" s="12" t="n"/>
      <c r="D12" s="12" t="n"/>
      <c r="E12" s="12" t="n"/>
      <c r="F12" s="12" t="n"/>
      <c r="G12" s="12" t="n"/>
      <c r="H12" s="12" t="n"/>
      <c r="I12" s="12" t="n"/>
      <c r="J12" s="13" t="inlineStr">
        <is>
          <t>TOTAIS</t>
        </is>
      </c>
      <c r="K12" s="14">
        <f>SUM(K2:K11)</f>
        <v/>
      </c>
      <c r="L12" s="14">
        <f>SUM(L2:L11)</f>
        <v/>
      </c>
      <c r="M12" s="14">
        <f>SUM(M2:M11)</f>
        <v/>
      </c>
      <c r="N12" s="15">
        <f>IFERROR(AVERAGE(N2:N11),0)</f>
        <v/>
      </c>
      <c r="O12" s="12" t="n"/>
      <c r="P12" s="12" t="n"/>
    </row>
  </sheetData>
  <conditionalFormatting sqref="M2:M11">
    <cfRule type="expression" priority="1" dxfId="0" stopIfTrue="1">
      <formula>M2&gt;0</formula>
    </cfRule>
    <cfRule type="expression" priority="2" dxfId="1" stopIfTrue="1">
      <formula>M2&lt;0</formula>
    </cfRule>
  </conditionalFormatting>
  <conditionalFormatting sqref="J2:J11">
    <cfRule type="expression" priority="3" dxfId="2" stopIfTrue="1">
      <formula>J2="Atrasado"</formula>
    </cfRule>
    <cfRule type="expression" priority="4" dxfId="3" stopIfTrue="1">
      <formula>J2="Concluído"</formula>
    </cfRule>
  </conditionalFormatting>
  <dataValidations count="3">
    <dataValidation sqref="J2:J11" showErrorMessage="1" showDropDown="0" showInputMessage="1" allowBlank="0" type="list">
      <formula1>"Em andamento,Concluído,Atrasado,Cancelado"</formula1>
    </dataValidation>
    <dataValidation sqref="O2:O11" showErrorMessage="1" showDropDown="0" showInputMessage="1" allowBlank="0" type="list">
      <formula1>"Alta,Média,Baixa"</formula1>
    </dataValidation>
    <dataValidation sqref="F2:F11" showErrorMessage="1" showDropDown="0" showInputMessage="1" allowBlank="0" type="list">
      <formula1>"Digital,Design,Marketing,Financeiro,Administrativo"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20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28" customWidth="1" min="3" max="3"/>
    <col width="12" customWidth="1" min="4" max="4"/>
    <col width="18" customWidth="1" min="5" max="5"/>
    <col width="14" customWidth="1" min="6" max="6"/>
    <col width="18" customWidth="1" min="7" max="7"/>
    <col width="18" customWidth="1" min="8" max="8"/>
    <col width="16" customWidth="1" min="9" max="9"/>
    <col width="16" customWidth="1" min="10" max="10"/>
    <col width="24" customWidth="1" min="11" max="11"/>
  </cols>
  <sheetData>
    <row r="1" ht="30" customHeight="1">
      <c r="A1" s="1" t="inlineStr">
        <is>
          <t>ID Projeto</t>
        </is>
      </c>
      <c r="B1" s="1" t="inlineStr">
        <is>
          <t>Etapa</t>
        </is>
      </c>
      <c r="C1" s="1" t="inlineStr">
        <is>
          <t>Item de Custo/Receita</t>
        </is>
      </c>
      <c r="D1" s="1" t="inlineStr">
        <is>
          <t>Tipo</t>
        </is>
      </c>
      <c r="E1" s="1" t="inlineStr">
        <is>
          <t>Categoria</t>
        </is>
      </c>
      <c r="F1" s="1" t="inlineStr">
        <is>
          <t>Data prevista</t>
        </is>
      </c>
      <c r="G1" s="1" t="inlineStr">
        <is>
          <t>Valor previsto (R$)</t>
        </is>
      </c>
      <c r="H1" s="1" t="inlineStr">
        <is>
          <t>Valor realizado (R$)</t>
        </is>
      </c>
      <c r="I1" s="1" t="inlineStr">
        <is>
          <t>Diferença (R$)</t>
        </is>
      </c>
      <c r="J1" s="1" t="inlineStr">
        <is>
          <t>Status financeiro</t>
        </is>
      </c>
      <c r="K1" s="1" t="inlineStr">
        <is>
          <t>Observações</t>
        </is>
      </c>
    </row>
    <row r="2">
      <c r="A2" s="2" t="inlineStr">
        <is>
          <t>PRJ-001</t>
        </is>
      </c>
      <c r="B2" s="3" t="inlineStr">
        <is>
          <t>Início</t>
        </is>
      </c>
      <c r="C2" s="3" t="inlineStr">
        <is>
          <t>Sinal de entrada (50%)</t>
        </is>
      </c>
      <c r="D2" s="2" t="inlineStr">
        <is>
          <t>Receita</t>
        </is>
      </c>
      <c r="E2" s="3" t="inlineStr">
        <is>
          <t>Receita</t>
        </is>
      </c>
      <c r="F2" s="4" t="n">
        <v>46032</v>
      </c>
      <c r="G2" s="5" t="n">
        <v>6000</v>
      </c>
      <c r="H2" s="5" t="n">
        <v>6000</v>
      </c>
      <c r="I2" s="5">
        <f>IFERROR(H2-G2,0)</f>
        <v/>
      </c>
      <c r="J2" s="2">
        <f>IFERROR(IF(H2=0,"Pendente",IF(I2&gt;0,"Ajustar","OK")),"")</f>
        <v/>
      </c>
      <c r="K2" s="16" t="n"/>
    </row>
    <row r="3">
      <c r="A3" s="7" t="inlineStr">
        <is>
          <t>PRJ-001</t>
        </is>
      </c>
      <c r="B3" s="8" t="inlineStr">
        <is>
          <t>Execução</t>
        </is>
      </c>
      <c r="C3" s="8" t="inlineStr">
        <is>
          <t>Hospedagem e domínio</t>
        </is>
      </c>
      <c r="D3" s="7" t="inlineStr">
        <is>
          <t>Despesa</t>
        </is>
      </c>
      <c r="E3" s="8" t="inlineStr">
        <is>
          <t>Infraestrutura</t>
        </is>
      </c>
      <c r="F3" s="9" t="n">
        <v>46037</v>
      </c>
      <c r="G3" s="10" t="n">
        <v>350</v>
      </c>
      <c r="H3" s="10" t="n">
        <v>350</v>
      </c>
      <c r="I3" s="10">
        <f>IFERROR(H3-G3,0)</f>
        <v/>
      </c>
      <c r="J3" s="7">
        <f>IFERROR(IF(H3=0,"Pendente",IF(I3&gt;0,"Ajustar","OK")),"")</f>
        <v/>
      </c>
      <c r="K3" s="16" t="n"/>
    </row>
    <row r="4">
      <c r="A4" s="2" t="inlineStr">
        <is>
          <t>PRJ-002</t>
        </is>
      </c>
      <c r="B4" s="3" t="inlineStr">
        <is>
          <t>Início</t>
        </is>
      </c>
      <c r="C4" s="3" t="inlineStr">
        <is>
          <t>Sinal de entrada (30%)</t>
        </is>
      </c>
      <c r="D4" s="2" t="inlineStr">
        <is>
          <t>Receita</t>
        </is>
      </c>
      <c r="E4" s="3" t="inlineStr">
        <is>
          <t>Receita</t>
        </is>
      </c>
      <c r="F4" s="4" t="n">
        <v>46054</v>
      </c>
      <c r="G4" s="5" t="n">
        <v>1080</v>
      </c>
      <c r="H4" s="5" t="n">
        <v>1080</v>
      </c>
      <c r="I4" s="5">
        <f>IFERROR(H4-G4,0)</f>
        <v/>
      </c>
      <c r="J4" s="2">
        <f>IFERROR(IF(H4=0,"Pendente",IF(I4&gt;0,"Ajustar","OK")),"")</f>
        <v/>
      </c>
      <c r="K4" s="16" t="n"/>
    </row>
    <row r="5">
      <c r="A5" s="7" t="inlineStr">
        <is>
          <t>PRJ-002</t>
        </is>
      </c>
      <c r="B5" s="8" t="inlineStr">
        <is>
          <t>Execução</t>
        </is>
      </c>
      <c r="C5" s="8" t="inlineStr">
        <is>
          <t>Anúncios Google Ads</t>
        </is>
      </c>
      <c r="D5" s="7" t="inlineStr">
        <is>
          <t>Despesa</t>
        </is>
      </c>
      <c r="E5" s="8" t="inlineStr">
        <is>
          <t>Marketing</t>
        </is>
      </c>
      <c r="F5" s="9" t="n">
        <v>46082</v>
      </c>
      <c r="G5" s="10" t="n">
        <v>800</v>
      </c>
      <c r="H5" s="10" t="n">
        <v>650</v>
      </c>
      <c r="I5" s="10">
        <f>IFERROR(H5-G5,0)</f>
        <v/>
      </c>
      <c r="J5" s="7">
        <f>IFERROR(IF(H5=0,"Pendente",IF(I5&gt;0,"Ajustar","OK")),"")</f>
        <v/>
      </c>
      <c r="K5" s="16" t="n"/>
    </row>
    <row r="6">
      <c r="A6" s="2" t="inlineStr">
        <is>
          <t>PRJ-003</t>
        </is>
      </c>
      <c r="B6" s="3" t="inlineStr">
        <is>
          <t>Execução</t>
        </is>
      </c>
      <c r="C6" s="3" t="inlineStr">
        <is>
          <t>Freelancer de Ilustração</t>
        </is>
      </c>
      <c r="D6" s="2" t="inlineStr">
        <is>
          <t>Despesa</t>
        </is>
      </c>
      <c r="E6" s="3" t="inlineStr">
        <is>
          <t>Freela</t>
        </is>
      </c>
      <c r="F6" s="4" t="n">
        <v>46073</v>
      </c>
      <c r="G6" s="5" t="n">
        <v>1200</v>
      </c>
      <c r="H6" s="5" t="n">
        <v>0</v>
      </c>
      <c r="I6" s="5">
        <f>IFERROR(H6-G6,0)</f>
        <v/>
      </c>
      <c r="J6" s="2">
        <f>IFERROR(IF(H6=0,"Pendente",IF(I6&gt;0,"Ajustar","OK")),"")</f>
        <v/>
      </c>
      <c r="K6" s="16" t="n"/>
    </row>
    <row r="7">
      <c r="A7" s="7" t="inlineStr">
        <is>
          <t>PRJ-004</t>
        </is>
      </c>
      <c r="B7" s="8" t="inlineStr">
        <is>
          <t>Início</t>
        </is>
      </c>
      <c r="C7" s="8" t="inlineStr">
        <is>
          <t>Consultoria — 1ª parcela</t>
        </is>
      </c>
      <c r="D7" s="7" t="inlineStr">
        <is>
          <t>Receita</t>
        </is>
      </c>
      <c r="E7" s="8" t="inlineStr">
        <is>
          <t>Receita</t>
        </is>
      </c>
      <c r="F7" s="9" t="n">
        <v>46082</v>
      </c>
      <c r="G7" s="10" t="n">
        <v>2000</v>
      </c>
      <c r="H7" s="10" t="n">
        <v>2000</v>
      </c>
      <c r="I7" s="10">
        <f>IFERROR(H7-G7,0)</f>
        <v/>
      </c>
      <c r="J7" s="7">
        <f>IFERROR(IF(H7=0,"Pendente",IF(I7&gt;0,"Ajustar","OK")),"")</f>
        <v/>
      </c>
      <c r="K7" s="16" t="n"/>
    </row>
    <row r="8">
      <c r="A8" s="2" t="inlineStr">
        <is>
          <t>PRJ-005</t>
        </is>
      </c>
      <c r="B8" s="3" t="inlineStr">
        <is>
          <t>Execução</t>
        </is>
      </c>
      <c r="C8" s="3" t="inlineStr">
        <is>
          <t>Ferramenta de Agendamento SaaS</t>
        </is>
      </c>
      <c r="D8" s="2" t="inlineStr">
        <is>
          <t>Despesa</t>
        </is>
      </c>
      <c r="E8" s="3" t="inlineStr">
        <is>
          <t>SaaS</t>
        </is>
      </c>
      <c r="F8" s="4" t="n">
        <v>46068</v>
      </c>
      <c r="G8" s="5" t="n">
        <v>120</v>
      </c>
      <c r="H8" s="5" t="n">
        <v>120</v>
      </c>
      <c r="I8" s="5">
        <f>IFERROR(H8-G8,0)</f>
        <v/>
      </c>
      <c r="J8" s="2">
        <f>IFERROR(IF(H8=0,"Pendente",IF(I8&gt;0,"Ajustar","OK")),"")</f>
        <v/>
      </c>
      <c r="K8" s="16" t="n"/>
    </row>
    <row r="9">
      <c r="A9" s="7" t="inlineStr">
        <is>
          <t>PRJ-006</t>
        </is>
      </c>
      <c r="B9" s="8" t="inlineStr">
        <is>
          <t>Início</t>
        </is>
      </c>
      <c r="C9" s="8" t="inlineStr">
        <is>
          <t>Sinal de entrada (40%)</t>
        </is>
      </c>
      <c r="D9" s="7" t="inlineStr">
        <is>
          <t>Receita</t>
        </is>
      </c>
      <c r="E9" s="8" t="inlineStr">
        <is>
          <t>Receita</t>
        </is>
      </c>
      <c r="F9" s="9" t="n">
        <v>46091</v>
      </c>
      <c r="G9" s="10" t="n">
        <v>2200</v>
      </c>
      <c r="H9" s="10" t="n">
        <v>0</v>
      </c>
      <c r="I9" s="10">
        <f>IFERROR(H9-G9,0)</f>
        <v/>
      </c>
      <c r="J9" s="7">
        <f>IFERROR(IF(H9=0,"Pendente",IF(I9&gt;0,"Ajustar","OK")),"")</f>
        <v/>
      </c>
      <c r="K9" s="16" t="n"/>
    </row>
    <row r="10">
      <c r="A10" s="2" t="inlineStr">
        <is>
          <t>PRJ-007</t>
        </is>
      </c>
      <c r="B10" s="3" t="inlineStr">
        <is>
          <t>Execução</t>
        </is>
      </c>
      <c r="C10" s="3" t="inlineStr">
        <is>
          <t>Impressão de cardápios</t>
        </is>
      </c>
      <c r="D10" s="2" t="inlineStr">
        <is>
          <t>Despesa</t>
        </is>
      </c>
      <c r="E10" s="3" t="inlineStr">
        <is>
          <t>Produção</t>
        </is>
      </c>
      <c r="F10" s="4" t="n">
        <v>46127</v>
      </c>
      <c r="G10" s="5" t="n">
        <v>480</v>
      </c>
      <c r="H10" s="5" t="n">
        <v>520</v>
      </c>
      <c r="I10" s="5">
        <f>IFERROR(H10-G10,0)</f>
        <v/>
      </c>
      <c r="J10" s="2">
        <f>IFERROR(IF(H10=0,"Pendente",IF(I10&gt;0,"Ajustar","OK")),"")</f>
        <v/>
      </c>
      <c r="K10" s="16" t="n"/>
    </row>
    <row r="11">
      <c r="A11" s="7" t="inlineStr">
        <is>
          <t>PRJ-009</t>
        </is>
      </c>
      <c r="B11" s="8" t="inlineStr">
        <is>
          <t>Execução</t>
        </is>
      </c>
      <c r="C11" s="8" t="inlineStr">
        <is>
          <t>Integração gateway de pagamento</t>
        </is>
      </c>
      <c r="D11" s="7" t="inlineStr">
        <is>
          <t>Despesa</t>
        </is>
      </c>
      <c r="E11" s="8" t="inlineStr">
        <is>
          <t>Desenvolvimento</t>
        </is>
      </c>
      <c r="F11" s="9" t="n">
        <v>46143</v>
      </c>
      <c r="G11" s="10" t="n">
        <v>1500</v>
      </c>
      <c r="H11" s="10" t="n">
        <v>1200</v>
      </c>
      <c r="I11" s="10">
        <f>IFERROR(H11-G11,0)</f>
        <v/>
      </c>
      <c r="J11" s="7">
        <f>IFERROR(IF(H11=0,"Pendente",IF(I11&gt;0,"Ajustar","OK")),"")</f>
        <v/>
      </c>
      <c r="K11" s="16" t="n"/>
    </row>
    <row r="12" ht="22" customHeight="1">
      <c r="A12" s="13" t="inlineStr">
        <is>
          <t>RESUMO</t>
        </is>
      </c>
    </row>
    <row r="13">
      <c r="A13" s="13" t="inlineStr">
        <is>
          <t>TOTAIS E INDICADORES</t>
        </is>
      </c>
      <c r="B13" s="12" t="n"/>
      <c r="C13" s="12" t="n"/>
      <c r="D13" s="12" t="n"/>
      <c r="E13" s="12" t="n"/>
      <c r="F13" s="12" t="n"/>
      <c r="G13" s="12" t="n"/>
      <c r="H13" s="12" t="n"/>
      <c r="I13" s="12" t="n"/>
      <c r="J13" s="12" t="n"/>
      <c r="K13" s="12" t="n"/>
    </row>
    <row r="14" ht="20" customHeight="1">
      <c r="A14" s="17" t="inlineStr">
        <is>
          <t>Total previsto (R$)</t>
        </is>
      </c>
      <c r="B14" s="18">
        <f>SUM(G2:G11)</f>
        <v/>
      </c>
    </row>
    <row r="15" ht="20" customHeight="1">
      <c r="A15" s="17" t="inlineStr">
        <is>
          <t>Total realizado (R$)</t>
        </is>
      </c>
      <c r="B15" s="18">
        <f>SUM(H2:H11)</f>
        <v/>
      </c>
    </row>
    <row r="16" ht="20" customHeight="1">
      <c r="A16" s="17" t="inlineStr">
        <is>
          <t>Diferença total (R$)</t>
        </is>
      </c>
      <c r="B16" s="18">
        <f>IFERROR(SUM(I2:I11),0)</f>
        <v/>
      </c>
    </row>
    <row r="17" ht="20" customHeight="1">
      <c r="A17" s="17" t="inlineStr">
        <is>
          <t>Média por item (R$)</t>
        </is>
      </c>
      <c r="B17" s="18">
        <f>IFERROR(AVERAGE(G2:G11),0)</f>
        <v/>
      </c>
    </row>
    <row r="18" ht="20" customHeight="1">
      <c r="A18" s="17" t="inlineStr">
        <is>
          <t>Itens pendentes</t>
        </is>
      </c>
      <c r="B18" s="19">
        <f>COUNTIF(J2:J11,"Pendente")</f>
        <v/>
      </c>
    </row>
    <row r="19" ht="20" customHeight="1">
      <c r="A19" s="17" t="inlineStr">
        <is>
          <t>Total Receitas (R$)</t>
        </is>
      </c>
      <c r="B19" s="18">
        <f>IFERROR(SUMIF(D2:D11,"Receita",G2:G11),0)</f>
        <v/>
      </c>
    </row>
    <row r="20" ht="20" customHeight="1">
      <c r="A20" s="17" t="inlineStr">
        <is>
          <t>Total Despesas (R$)</t>
        </is>
      </c>
      <c r="B20" s="18">
        <f>IFERROR(SUMIF(D2:D11,"Despesa",G2:G11),0)</f>
        <v/>
      </c>
    </row>
  </sheetData>
  <conditionalFormatting sqref="J2:J11">
    <cfRule type="expression" priority="1" dxfId="4" stopIfTrue="1">
      <formula>J2="Pendente"</formula>
    </cfRule>
    <cfRule type="expression" priority="2" dxfId="3" stopIfTrue="1">
      <formula>J2="OK"</formula>
    </cfRule>
    <cfRule type="expression" priority="3" dxfId="2" stopIfTrue="1">
      <formula>J2="Ajustar"</formula>
    </cfRule>
  </conditionalFormatting>
  <dataValidations count="1">
    <dataValidation sqref="D2:D11" showErrorMessage="1" showDropDown="0" showInputMessage="1" allowBlank="0" type="list">
      <formula1>"Receita,Despesa"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46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20" customWidth="1" min="2" max="2"/>
    <col width="20" customWidth="1" min="3" max="3"/>
    <col width="20" customWidth="1" min="4" max="4"/>
    <col width="4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36" customHeight="1">
      <c r="A1" s="20" t="inlineStr">
        <is>
          <t>📊 Resumo Executivo — Portfólio de Projetos</t>
        </is>
      </c>
    </row>
    <row r="3">
      <c r="A3" s="13" t="inlineStr">
        <is>
          <t>INDICADORES DE PROJETOS</t>
        </is>
      </c>
      <c r="B3" s="12" t="n"/>
      <c r="C3" s="12" t="n"/>
      <c r="D3" s="12" t="n"/>
    </row>
    <row r="4" ht="22" customHeight="1">
      <c r="A4" s="17" t="inlineStr">
        <is>
          <t>Total de projetos</t>
        </is>
      </c>
      <c r="B4" s="19">
        <f>COUNTA('Portfólio de Projetos'!A2:A11)</f>
        <v/>
      </c>
      <c r="C4" s="21" t="n"/>
      <c r="D4" s="21" t="n"/>
    </row>
    <row r="5" ht="22" customHeight="1">
      <c r="A5" s="17" t="inlineStr">
        <is>
          <t>Em andamento</t>
        </is>
      </c>
      <c r="B5" s="19">
        <f>COUNTIF('Portfólio de Projetos'!J2:J11,"Em andamento")</f>
        <v/>
      </c>
      <c r="C5" s="21" t="n"/>
      <c r="D5" s="21" t="n"/>
    </row>
    <row r="6" ht="22" customHeight="1">
      <c r="A6" s="17" t="inlineStr">
        <is>
          <t>Atrasados</t>
        </is>
      </c>
      <c r="B6" s="19">
        <f>COUNTIF('Portfólio de Projetos'!J2:J11,"Atrasado")</f>
        <v/>
      </c>
      <c r="C6" s="21" t="n"/>
      <c r="D6" s="21" t="n"/>
    </row>
    <row r="7" ht="22" customHeight="1">
      <c r="A7" s="17" t="inlineStr">
        <is>
          <t>Concluídos</t>
        </is>
      </c>
      <c r="B7" s="19">
        <f>COUNTIF('Portfólio de Projetos'!J2:J11,"Concluído")</f>
        <v/>
      </c>
      <c r="C7" s="21" t="n"/>
      <c r="D7" s="21" t="n"/>
    </row>
    <row r="8" ht="22" customHeight="1">
      <c r="A8" s="17" t="inlineStr">
        <is>
          <t>Receita contratada (R$)</t>
        </is>
      </c>
      <c r="B8" s="18">
        <f>SUM('Portfólio de Projetos'!K2:K11)</f>
        <v/>
      </c>
      <c r="C8" s="21" t="n"/>
      <c r="D8" s="21" t="n"/>
    </row>
    <row r="9" ht="22" customHeight="1">
      <c r="A9" s="17" t="inlineStr">
        <is>
          <t>Custo estimado total (R$)</t>
        </is>
      </c>
      <c r="B9" s="18">
        <f>SUM('Portfólio de Projetos'!L2:L11)</f>
        <v/>
      </c>
      <c r="C9" s="21" t="n"/>
      <c r="D9" s="21" t="n"/>
    </row>
    <row r="10" ht="22" customHeight="1">
      <c r="A10" s="17" t="inlineStr">
        <is>
          <t>Lucro estimado total (R$)</t>
        </is>
      </c>
      <c r="B10" s="18">
        <f>SUM('Portfólio de Projetos'!M2:M11)</f>
        <v/>
      </c>
      <c r="C10" s="21" t="n"/>
      <c r="D10" s="21" t="n"/>
    </row>
    <row r="11" ht="22" customHeight="1">
      <c r="A11" s="17" t="inlineStr">
        <is>
          <t>Margem média (%)</t>
        </is>
      </c>
      <c r="B11" s="22">
        <f>IFERROR(AVERAGE('Portfólio de Projetos'!N2:N11),0)</f>
        <v/>
      </c>
      <c r="C11" s="21" t="n"/>
      <c r="D11" s="21" t="n"/>
    </row>
    <row r="13">
      <c r="A13" s="13" t="inlineStr">
        <is>
          <t>INDICADORES ORÇAMENTÁRIOS</t>
        </is>
      </c>
      <c r="B13" s="12" t="n"/>
      <c r="C13" s="12" t="n"/>
      <c r="D13" s="12" t="n"/>
    </row>
    <row r="14" ht="22" customHeight="1">
      <c r="A14" s="17" t="inlineStr">
        <is>
          <t>Orçamento previsto total (R$)</t>
        </is>
      </c>
      <c r="B14" s="18">
        <f>SUM(Orçamento!G2:G11)</f>
        <v/>
      </c>
      <c r="C14" s="21" t="n"/>
      <c r="D14" s="21" t="n"/>
    </row>
    <row r="15" ht="22" customHeight="1">
      <c r="A15" s="17" t="inlineStr">
        <is>
          <t>Orçamento realizado total (R$)</t>
        </is>
      </c>
      <c r="B15" s="18">
        <f>SUM(Orçamento!H2:H11)</f>
        <v/>
      </c>
      <c r="C15" s="21" t="n"/>
      <c r="D15" s="21" t="n"/>
    </row>
    <row r="16" ht="22" customHeight="1">
      <c r="A16" s="17" t="inlineStr">
        <is>
          <t>Diferença orçamentária (R$)</t>
        </is>
      </c>
      <c r="B16" s="18">
        <f>IFERROR(SUM(Orçamento!I2:I11),0)</f>
        <v/>
      </c>
      <c r="C16" s="21" t="n"/>
      <c r="D16" s="21" t="n"/>
    </row>
    <row r="17" ht="22" customHeight="1">
      <c r="A17" s="17" t="inlineStr">
        <is>
          <t>Total de receitas previstas (R$)</t>
        </is>
      </c>
      <c r="B17" s="18">
        <f>IFERROR(SUMIF(Orçamento!D2:D11,"Receita",Orçamento!G2:G11),0)</f>
        <v/>
      </c>
      <c r="C17" s="21" t="n"/>
      <c r="D17" s="21" t="n"/>
    </row>
    <row r="18" ht="22" customHeight="1">
      <c r="A18" s="17" t="inlineStr">
        <is>
          <t>Total de despesas previstas (R$)</t>
        </is>
      </c>
      <c r="B18" s="18">
        <f>IFERROR(SUMIF(Orçamento!D2:D11,"Despesa",Orçamento!G2:G11),0)</f>
        <v/>
      </c>
      <c r="C18" s="21" t="n"/>
      <c r="D18" s="21" t="n"/>
    </row>
    <row r="19" ht="22" customHeight="1">
      <c r="A19" s="17" t="inlineStr">
        <is>
          <t>Itens orçamento pendentes</t>
        </is>
      </c>
      <c r="B19" s="19">
        <f>COUNTIF(Orçamento!J2:J11,"Pendente")</f>
        <v/>
      </c>
      <c r="C19" s="21" t="n"/>
      <c r="D19" s="21" t="n"/>
    </row>
    <row r="21">
      <c r="A21" s="13" t="inlineStr">
        <is>
          <t>CONSULTA POR PROJETO (PRJ-001)</t>
        </is>
      </c>
      <c r="B21" s="12" t="n"/>
      <c r="C21" s="12" t="n"/>
      <c r="D21" s="12" t="n"/>
    </row>
    <row r="22" ht="22" customHeight="1">
      <c r="A22" s="17" t="inlineStr">
        <is>
          <t>Valor contratado PRJ-001 (R$)</t>
        </is>
      </c>
      <c r="B22" s="18">
        <f>IFERROR(VLOOKUP("PRJ-001",'Portfólio de Projetos'!A2:P11,11,FALSE),0)</f>
        <v/>
      </c>
    </row>
    <row r="23" ht="22" customHeight="1">
      <c r="A23" s="17" t="inlineStr">
        <is>
          <t>Custo estimado PRJ-001 (R$)</t>
        </is>
      </c>
      <c r="B23" s="18">
        <f>IFERROR(VLOOKUP("PRJ-001",'Portfólio de Projetos'!A2:P11,12,FALSE),0)</f>
        <v/>
      </c>
    </row>
    <row r="24" ht="22" customHeight="1">
      <c r="A24" s="17" t="inlineStr">
        <is>
          <t>Lucro estimado PRJ-001 (R$)</t>
        </is>
      </c>
      <c r="B24" s="18">
        <f>IFERROR(VLOOKUP("PRJ-001",'Portfólio de Projetos'!A2:P11,13,FALSE),0)</f>
        <v/>
      </c>
    </row>
    <row r="26">
      <c r="A26" s="13" t="inlineStr">
        <is>
          <t>TABELA: Projetos por rentabilidade</t>
        </is>
      </c>
    </row>
    <row r="27">
      <c r="A27" s="1" t="inlineStr">
        <is>
          <t>ID Projeto</t>
        </is>
      </c>
      <c r="B27" s="1" t="inlineStr">
        <is>
          <t>Valor Contratado</t>
        </is>
      </c>
      <c r="C27" s="1" t="inlineStr">
        <is>
          <t>Custo Estimado</t>
        </is>
      </c>
      <c r="D27" s="1" t="inlineStr">
        <is>
          <t>Lucro Estimado</t>
        </is>
      </c>
    </row>
    <row r="28">
      <c r="A28" s="2" t="inlineStr">
        <is>
          <t>PRJ-001</t>
        </is>
      </c>
      <c r="B28" s="5">
        <f>IFERROR(VLOOKUP(A28,'Portfólio de Projetos'!A2:P11,11,FALSE),0)</f>
        <v/>
      </c>
      <c r="C28" s="5">
        <f>IFERROR(VLOOKUP(A28,'Portfólio de Projetos'!A2:P11,12,FALSE),0)</f>
        <v/>
      </c>
      <c r="D28" s="5">
        <f>IFERROR(VLOOKUP(A28,'Portfólio de Projetos'!A2:P11,13,FALSE),0)</f>
        <v/>
      </c>
    </row>
    <row r="29">
      <c r="A29" s="7" t="inlineStr">
        <is>
          <t>PRJ-002</t>
        </is>
      </c>
      <c r="B29" s="10">
        <f>IFERROR(VLOOKUP(A29,'Portfólio de Projetos'!A2:P11,11,FALSE),0)</f>
        <v/>
      </c>
      <c r="C29" s="10">
        <f>IFERROR(VLOOKUP(A29,'Portfólio de Projetos'!A2:P11,12,FALSE),0)</f>
        <v/>
      </c>
      <c r="D29" s="10">
        <f>IFERROR(VLOOKUP(A29,'Portfólio de Projetos'!A2:P11,13,FALSE),0)</f>
        <v/>
      </c>
    </row>
    <row r="30">
      <c r="A30" s="2" t="inlineStr">
        <is>
          <t>PRJ-003</t>
        </is>
      </c>
      <c r="B30" s="5">
        <f>IFERROR(VLOOKUP(A30,'Portfólio de Projetos'!A2:P11,11,FALSE),0)</f>
        <v/>
      </c>
      <c r="C30" s="5">
        <f>IFERROR(VLOOKUP(A30,'Portfólio de Projetos'!A2:P11,12,FALSE),0)</f>
        <v/>
      </c>
      <c r="D30" s="5">
        <f>IFERROR(VLOOKUP(A30,'Portfólio de Projetos'!A2:P11,13,FALSE),0)</f>
        <v/>
      </c>
    </row>
    <row r="31">
      <c r="A31" s="7" t="inlineStr">
        <is>
          <t>PRJ-004</t>
        </is>
      </c>
      <c r="B31" s="10">
        <f>IFERROR(VLOOKUP(A31,'Portfólio de Projetos'!A2:P11,11,FALSE),0)</f>
        <v/>
      </c>
      <c r="C31" s="10">
        <f>IFERROR(VLOOKUP(A31,'Portfólio de Projetos'!A2:P11,12,FALSE),0)</f>
        <v/>
      </c>
      <c r="D31" s="10">
        <f>IFERROR(VLOOKUP(A31,'Portfólio de Projetos'!A2:P11,13,FALSE),0)</f>
        <v/>
      </c>
    </row>
    <row r="32">
      <c r="A32" s="2" t="inlineStr">
        <is>
          <t>PRJ-005</t>
        </is>
      </c>
      <c r="B32" s="5">
        <f>IFERROR(VLOOKUP(A32,'Portfólio de Projetos'!A2:P11,11,FALSE),0)</f>
        <v/>
      </c>
      <c r="C32" s="5">
        <f>IFERROR(VLOOKUP(A32,'Portfólio de Projetos'!A2:P11,12,FALSE),0)</f>
        <v/>
      </c>
      <c r="D32" s="5">
        <f>IFERROR(VLOOKUP(A32,'Portfólio de Projetos'!A2:P11,13,FALSE),0)</f>
        <v/>
      </c>
    </row>
    <row r="33">
      <c r="A33" s="7" t="inlineStr">
        <is>
          <t>PRJ-006</t>
        </is>
      </c>
      <c r="B33" s="10">
        <f>IFERROR(VLOOKUP(A33,'Portfólio de Projetos'!A2:P11,11,FALSE),0)</f>
        <v/>
      </c>
      <c r="C33" s="10">
        <f>IFERROR(VLOOKUP(A33,'Portfólio de Projetos'!A2:P11,12,FALSE),0)</f>
        <v/>
      </c>
      <c r="D33" s="10">
        <f>IFERROR(VLOOKUP(A33,'Portfólio de Projetos'!A2:P11,13,FALSE),0)</f>
        <v/>
      </c>
    </row>
    <row r="34">
      <c r="A34" s="2" t="inlineStr">
        <is>
          <t>PRJ-007</t>
        </is>
      </c>
      <c r="B34" s="5">
        <f>IFERROR(VLOOKUP(A34,'Portfólio de Projetos'!A2:P11,11,FALSE),0)</f>
        <v/>
      </c>
      <c r="C34" s="5">
        <f>IFERROR(VLOOKUP(A34,'Portfólio de Projetos'!A2:P11,12,FALSE),0)</f>
        <v/>
      </c>
      <c r="D34" s="5">
        <f>IFERROR(VLOOKUP(A34,'Portfólio de Projetos'!A2:P11,13,FALSE),0)</f>
        <v/>
      </c>
    </row>
    <row r="35">
      <c r="A35" s="7" t="inlineStr">
        <is>
          <t>PRJ-008</t>
        </is>
      </c>
      <c r="B35" s="10">
        <f>IFERROR(VLOOKUP(A35,'Portfólio de Projetos'!A2:P11,11,FALSE),0)</f>
        <v/>
      </c>
      <c r="C35" s="10">
        <f>IFERROR(VLOOKUP(A35,'Portfólio de Projetos'!A2:P11,12,FALSE),0)</f>
        <v/>
      </c>
      <c r="D35" s="10">
        <f>IFERROR(VLOOKUP(A35,'Portfólio de Projetos'!A2:P11,13,FALSE),0)</f>
        <v/>
      </c>
    </row>
    <row r="36">
      <c r="A36" s="2" t="inlineStr">
        <is>
          <t>PRJ-009</t>
        </is>
      </c>
      <c r="B36" s="5">
        <f>IFERROR(VLOOKUP(A36,'Portfólio de Projetos'!A2:P11,11,FALSE),0)</f>
        <v/>
      </c>
      <c r="C36" s="5">
        <f>IFERROR(VLOOKUP(A36,'Portfólio de Projetos'!A2:P11,12,FALSE),0)</f>
        <v/>
      </c>
      <c r="D36" s="5">
        <f>IFERROR(VLOOKUP(A36,'Portfólio de Projetos'!A2:P11,13,FALSE),0)</f>
        <v/>
      </c>
    </row>
    <row r="37">
      <c r="A37" s="7" t="inlineStr">
        <is>
          <t>PRJ-010</t>
        </is>
      </c>
      <c r="B37" s="10">
        <f>IFERROR(VLOOKUP(A37,'Portfólio de Projetos'!A2:P11,11,FALSE),0)</f>
        <v/>
      </c>
      <c r="C37" s="10">
        <f>IFERROR(VLOOKUP(A37,'Portfólio de Projetos'!A2:P11,12,FALSE),0)</f>
        <v/>
      </c>
      <c r="D37" s="10">
        <f>IFERROR(VLOOKUP(A37,'Portfólio de Projetos'!A2:P11,13,FALSE),0)</f>
        <v/>
      </c>
    </row>
    <row r="42">
      <c r="A42" s="1" t="inlineStr">
        <is>
          <t>STATUS</t>
        </is>
      </c>
      <c r="B42" s="1" t="inlineStr">
        <is>
          <t>Quantidade</t>
        </is>
      </c>
    </row>
    <row r="43">
      <c r="A43" s="2" t="inlineStr">
        <is>
          <t>Em andamento</t>
        </is>
      </c>
      <c r="B43" s="2">
        <f>COUNTIF('Portfólio de Projetos'!J2:J11,A43)</f>
        <v/>
      </c>
    </row>
    <row r="44">
      <c r="A44" s="7" t="inlineStr">
        <is>
          <t>Atrasado</t>
        </is>
      </c>
      <c r="B44" s="7">
        <f>COUNTIF('Portfólio de Projetos'!J2:J11,A44)</f>
        <v/>
      </c>
    </row>
    <row r="45">
      <c r="A45" s="2" t="inlineStr">
        <is>
          <t>Concluído</t>
        </is>
      </c>
      <c r="B45" s="2">
        <f>COUNTIF('Portfólio de Projetos'!J2:J11,A45)</f>
        <v/>
      </c>
    </row>
    <row r="46">
      <c r="A46" s="7" t="inlineStr">
        <is>
          <t>Cancelado</t>
        </is>
      </c>
      <c r="B46" s="7">
        <f>COUNTIF('Portfólio de Projetos'!J2:J11,A46)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P38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4" customWidth="1" min="3" max="3"/>
    <col width="15" customWidth="1" min="4" max="4"/>
    <col width="4" customWidth="1" min="5" max="5"/>
    <col width="15" customWidth="1" min="6" max="6"/>
    <col width="4" customWidth="1" min="7" max="7"/>
    <col width="12" customWidth="1" min="8" max="8"/>
    <col width="4" customWidth="1" min="9" max="9"/>
    <col width="12" customWidth="1" min="10" max="10"/>
    <col width="4" customWidth="1" min="11" max="11"/>
    <col width="8" customWidth="1" min="12" max="12"/>
    <col width="4" customWidth="1" min="13" max="13"/>
    <col width="18" customWidth="1" min="14" max="14"/>
    <col width="4" customWidth="1" min="15" max="15"/>
    <col width="20" customWidth="1" min="16" max="16"/>
  </cols>
  <sheetData>
    <row r="1" ht="36" customHeight="1">
      <c r="A1" s="20" t="inlineStr">
        <is>
          <t>📋 Listas e Validações — Dados de Referência</t>
        </is>
      </c>
    </row>
    <row r="3" ht="24" customHeight="1">
      <c r="A3" s="1" t="inlineStr">
        <is>
          <t>Status do Projeto</t>
        </is>
      </c>
      <c r="C3" s="1" t="inlineStr">
        <is>
          <t>Prioridade</t>
        </is>
      </c>
      <c r="E3" s="1" t="inlineStr">
        <is>
          <t>Categoria</t>
        </is>
      </c>
      <c r="G3" s="1" t="inlineStr">
        <is>
          <t>Tipo Financeiro</t>
        </is>
      </c>
      <c r="I3" s="1" t="inlineStr">
        <is>
          <t>Status Financeiro</t>
        </is>
      </c>
      <c r="L3" s="1" t="inlineStr">
        <is>
          <t>UF</t>
        </is>
      </c>
      <c r="N3" s="1" t="inlineStr">
        <is>
          <t>Responsáveis</t>
        </is>
      </c>
      <c r="P3" s="1" t="inlineStr">
        <is>
          <t>Cidades</t>
        </is>
      </c>
    </row>
    <row r="4" ht="18" customHeight="1">
      <c r="A4" s="3" t="inlineStr">
        <is>
          <t>Em andamento</t>
        </is>
      </c>
      <c r="C4" s="3" t="inlineStr">
        <is>
          <t>Alta</t>
        </is>
      </c>
      <c r="E4" s="3" t="inlineStr">
        <is>
          <t>Digital</t>
        </is>
      </c>
      <c r="G4" s="3" t="inlineStr">
        <is>
          <t>Receita</t>
        </is>
      </c>
      <c r="I4" s="3" t="inlineStr">
        <is>
          <t>OK</t>
        </is>
      </c>
      <c r="L4" s="2" t="inlineStr">
        <is>
          <t>AC</t>
        </is>
      </c>
      <c r="N4" s="3" t="inlineStr">
        <is>
          <t>Lucas Mendes</t>
        </is>
      </c>
      <c r="P4" s="3" t="inlineStr">
        <is>
          <t>São Paulo/SP</t>
        </is>
      </c>
    </row>
    <row r="5" ht="18" customHeight="1">
      <c r="A5" s="8" t="inlineStr">
        <is>
          <t>Concluído</t>
        </is>
      </c>
      <c r="C5" s="8" t="inlineStr">
        <is>
          <t>Média</t>
        </is>
      </c>
      <c r="E5" s="8" t="inlineStr">
        <is>
          <t>Design</t>
        </is>
      </c>
      <c r="G5" s="8" t="inlineStr">
        <is>
          <t>Despesa</t>
        </is>
      </c>
      <c r="I5" s="8" t="inlineStr">
        <is>
          <t>Pendente</t>
        </is>
      </c>
      <c r="L5" s="7" t="inlineStr">
        <is>
          <t>AL</t>
        </is>
      </c>
      <c r="N5" s="8" t="inlineStr">
        <is>
          <t>Carla Souza</t>
        </is>
      </c>
      <c r="P5" s="8" t="inlineStr">
        <is>
          <t>Campinas/SP</t>
        </is>
      </c>
    </row>
    <row r="6" ht="18" customHeight="1">
      <c r="A6" s="3" t="inlineStr">
        <is>
          <t>Atrasado</t>
        </is>
      </c>
      <c r="C6" s="3" t="inlineStr">
        <is>
          <t>Baixa</t>
        </is>
      </c>
      <c r="E6" s="3" t="inlineStr">
        <is>
          <t>Marketing</t>
        </is>
      </c>
      <c r="I6" s="3" t="inlineStr">
        <is>
          <t>Ajustar</t>
        </is>
      </c>
      <c r="L6" s="2" t="inlineStr">
        <is>
          <t>AM</t>
        </is>
      </c>
      <c r="N6" s="3" t="inlineStr">
        <is>
          <t>Ana Lima</t>
        </is>
      </c>
      <c r="P6" s="3" t="inlineStr">
        <is>
          <t>Belo Horizonte/MG</t>
        </is>
      </c>
    </row>
    <row r="7" ht="18" customHeight="1">
      <c r="A7" s="8" t="inlineStr">
        <is>
          <t>Cancelado</t>
        </is>
      </c>
      <c r="E7" s="8" t="inlineStr">
        <is>
          <t>Financeiro</t>
        </is>
      </c>
      <c r="L7" s="7" t="inlineStr">
        <is>
          <t>AP</t>
        </is>
      </c>
      <c r="N7" s="8" t="inlineStr">
        <is>
          <t>João Ferreira</t>
        </is>
      </c>
      <c r="P7" s="8" t="inlineStr">
        <is>
          <t>Curitiba/PR</t>
        </is>
      </c>
    </row>
    <row r="8" ht="18" customHeight="1">
      <c r="E8" s="3" t="inlineStr">
        <is>
          <t>Administrativo</t>
        </is>
      </c>
      <c r="L8" s="2" t="inlineStr">
        <is>
          <t>BA</t>
        </is>
      </c>
      <c r="N8" s="3" t="inlineStr">
        <is>
          <t>Maria Costa</t>
        </is>
      </c>
      <c r="P8" s="3" t="inlineStr">
        <is>
          <t>Recife/PE</t>
        </is>
      </c>
    </row>
    <row r="9" ht="18" customHeight="1">
      <c r="L9" s="7" t="inlineStr">
        <is>
          <t>CE</t>
        </is>
      </c>
      <c r="N9" s="8" t="inlineStr">
        <is>
          <t>Pedro Alves</t>
        </is>
      </c>
      <c r="P9" s="8" t="inlineStr">
        <is>
          <t>Salvador/BA</t>
        </is>
      </c>
    </row>
    <row r="10" ht="18" customHeight="1">
      <c r="L10" s="2" t="inlineStr">
        <is>
          <t>DF</t>
        </is>
      </c>
      <c r="P10" s="3" t="inlineStr">
        <is>
          <t>Florianópolis/SC</t>
        </is>
      </c>
    </row>
    <row r="11" ht="18" customHeight="1">
      <c r="L11" s="7" t="inlineStr">
        <is>
          <t>ES</t>
        </is>
      </c>
      <c r="P11" s="8" t="inlineStr">
        <is>
          <t>Goiânia/GO</t>
        </is>
      </c>
    </row>
    <row r="12" ht="18" customHeight="1">
      <c r="L12" s="2" t="inlineStr">
        <is>
          <t>GO</t>
        </is>
      </c>
      <c r="P12" s="3" t="inlineStr">
        <is>
          <t>Porto Alegre/RS</t>
        </is>
      </c>
    </row>
    <row r="13" ht="18" customHeight="1">
      <c r="L13" s="7" t="inlineStr">
        <is>
          <t>MA</t>
        </is>
      </c>
      <c r="P13" s="8" t="inlineStr">
        <is>
          <t>Fortaleza/CE</t>
        </is>
      </c>
    </row>
    <row r="14" ht="18" customHeight="1">
      <c r="L14" s="2" t="inlineStr">
        <is>
          <t>MG</t>
        </is>
      </c>
    </row>
    <row r="15" ht="18" customHeight="1">
      <c r="L15" s="7" t="inlineStr">
        <is>
          <t>MS</t>
        </is>
      </c>
    </row>
    <row r="16" ht="18" customHeight="1">
      <c r="L16" s="2" t="inlineStr">
        <is>
          <t>MT</t>
        </is>
      </c>
    </row>
    <row r="17" ht="18" customHeight="1">
      <c r="L17" s="7" t="inlineStr">
        <is>
          <t>PA</t>
        </is>
      </c>
    </row>
    <row r="18" ht="18" customHeight="1">
      <c r="L18" s="2" t="inlineStr">
        <is>
          <t>PB</t>
        </is>
      </c>
    </row>
    <row r="19" ht="18" customHeight="1">
      <c r="L19" s="7" t="inlineStr">
        <is>
          <t>PE</t>
        </is>
      </c>
    </row>
    <row r="20" ht="18" customHeight="1">
      <c r="L20" s="2" t="inlineStr">
        <is>
          <t>PI</t>
        </is>
      </c>
    </row>
    <row r="21" ht="18" customHeight="1">
      <c r="L21" s="7" t="inlineStr">
        <is>
          <t>PR</t>
        </is>
      </c>
    </row>
    <row r="22" ht="18" customHeight="1">
      <c r="L22" s="2" t="inlineStr">
        <is>
          <t>RJ</t>
        </is>
      </c>
    </row>
    <row r="23" ht="18" customHeight="1">
      <c r="L23" s="7" t="inlineStr">
        <is>
          <t>RN</t>
        </is>
      </c>
    </row>
    <row r="24" ht="18" customHeight="1">
      <c r="L24" s="2" t="inlineStr">
        <is>
          <t>RO</t>
        </is>
      </c>
    </row>
    <row r="25" ht="18" customHeight="1">
      <c r="L25" s="7" t="inlineStr">
        <is>
          <t>RR</t>
        </is>
      </c>
    </row>
    <row r="26" ht="18" customHeight="1">
      <c r="L26" s="2" t="inlineStr">
        <is>
          <t>RS</t>
        </is>
      </c>
    </row>
    <row r="27" ht="18" customHeight="1">
      <c r="L27" s="7" t="inlineStr">
        <is>
          <t>SC</t>
        </is>
      </c>
    </row>
    <row r="28" ht="18" customHeight="1">
      <c r="L28" s="2" t="inlineStr">
        <is>
          <t>SE</t>
        </is>
      </c>
    </row>
    <row r="29" ht="18" customHeight="1">
      <c r="L29" s="7" t="inlineStr">
        <is>
          <t>SP</t>
        </is>
      </c>
    </row>
    <row r="30" ht="18" customHeight="1">
      <c r="L30" s="2" t="inlineStr">
        <is>
          <t>TO</t>
        </is>
      </c>
    </row>
    <row r="32">
      <c r="A32" s="13" t="inlineStr">
        <is>
          <t>INSTRUÇÕES DE USO</t>
        </is>
      </c>
      <c r="B32" s="12" t="n"/>
      <c r="C32" s="12" t="n"/>
      <c r="D32" s="12" t="n"/>
      <c r="E32" s="12" t="n"/>
      <c r="F32" s="12" t="n"/>
      <c r="G32" s="12" t="n"/>
      <c r="H32" s="12" t="n"/>
    </row>
    <row r="33" ht="36" customHeight="1">
      <c r="A33" s="23" t="inlineStr">
        <is>
          <t>Portfólio de Projetos</t>
        </is>
      </c>
      <c r="B33" s="24" t="inlineStr">
        <is>
          <t>Cadastre cada projeto com ID único (PRJ-XXX). Preencha valores contratados e custos estimados. O lucro e a margem são calculados automaticamente. Use os menus suspensos para Status, Categoria e Prioridade.</t>
        </is>
      </c>
      <c r="C33" s="25" t="n"/>
      <c r="D33" s="25" t="n"/>
      <c r="E33" s="25" t="n"/>
      <c r="F33" s="25" t="n"/>
      <c r="G33" s="25" t="n"/>
      <c r="H33" s="25" t="n"/>
    </row>
    <row r="34" ht="36" customHeight="1">
      <c r="A34" s="26" t="inlineStr">
        <is>
          <t>Orçamento</t>
        </is>
      </c>
      <c r="B34" s="27" t="inlineStr">
        <is>
          <t>Lance cada entrada (receita) e saída (despesa) associada ao ID do projeto. Preencha valor previsto e realizado. A diferença e o status financeiro são automáticos.</t>
        </is>
      </c>
      <c r="C34" s="21" t="n"/>
      <c r="D34" s="21" t="n"/>
      <c r="E34" s="21" t="n"/>
      <c r="F34" s="21" t="n"/>
      <c r="G34" s="21" t="n"/>
      <c r="H34" s="21" t="n"/>
    </row>
    <row r="35" ht="36" customHeight="1">
      <c r="A35" s="23" t="inlineStr">
        <is>
          <t>Resumo Executivo</t>
        </is>
      </c>
      <c r="B35" s="24" t="inlineStr">
        <is>
          <t>Painel de indicadores calculados automaticamente. Não editar diretamente. Os gráficos atualizam conforme os dados das abas anteriores.</t>
        </is>
      </c>
      <c r="C35" s="25" t="n"/>
      <c r="D35" s="25" t="n"/>
      <c r="E35" s="25" t="n"/>
      <c r="F35" s="25" t="n"/>
      <c r="G35" s="25" t="n"/>
      <c r="H35" s="25" t="n"/>
    </row>
    <row r="36" ht="36" customHeight="1">
      <c r="A36" s="26" t="inlineStr">
        <is>
          <t>Listas e Validações</t>
        </is>
      </c>
      <c r="B36" s="27" t="inlineStr">
        <is>
          <t>Esta aba contém as listas de referência usadas nos menus suspensos. Não altere os valores sem revisar as validações de dados nas outras abas.</t>
        </is>
      </c>
      <c r="C36" s="21" t="n"/>
      <c r="D36" s="21" t="n"/>
      <c r="E36" s="21" t="n"/>
      <c r="F36" s="21" t="n"/>
      <c r="G36" s="21" t="n"/>
      <c r="H36" s="21" t="n"/>
    </row>
    <row r="37" ht="36" customHeight="1">
      <c r="A37" s="23" t="inlineStr">
        <is>
          <t>Fórmulas importantes</t>
        </is>
      </c>
      <c r="B37" s="24" t="inlineStr">
        <is>
          <t>Lucro = Valor Contratado - Custo Estimado. Margem = Lucro / Valor Contratado. Diferença Orçamento = Valor Realizado - Valor Previsto.</t>
        </is>
      </c>
      <c r="C37" s="25" t="n"/>
      <c r="D37" s="25" t="n"/>
      <c r="E37" s="25" t="n"/>
      <c r="F37" s="25" t="n"/>
      <c r="G37" s="25" t="n"/>
      <c r="H37" s="25" t="n"/>
    </row>
    <row r="38" ht="36" customHeight="1">
      <c r="A38" s="26" t="inlineStr">
        <is>
          <t>Moeda e datas</t>
        </is>
      </c>
      <c r="B38" s="27" t="inlineStr">
        <is>
          <t>Todos os valores monetários estão em R$ (Reais). Datas no formato DD/MM/AAAA. Não altere o formato das células de fórmula.</t>
        </is>
      </c>
      <c r="C38" s="21" t="n"/>
      <c r="D38" s="21" t="n"/>
      <c r="E38" s="21" t="n"/>
      <c r="F38" s="21" t="n"/>
      <c r="G38" s="21" t="n"/>
      <c r="H38" s="21" t="n"/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2026-07-21T04:19:23Z</dcterms:created>
  <dcterms:modified xmlns:dcterms="http://purl.org/dc/terms/" xmlns:xsi="http://www.w3.org/2001/XMLSchema-instance" xsi:type="dcterms:W3CDTF">2026-07-21T04:19:23Z</dcterms:modified>
</cp:coreProperties>
</file>